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550" yWindow="-60" windowWidth="13995" windowHeight="9690"/>
  </bookViews>
  <sheets>
    <sheet name="10A" sheetId="1" r:id="rId1"/>
    <sheet name="Illustrative projects" sheetId="2" r:id="rId2"/>
  </sheets>
  <definedNames>
    <definedName name="_xlnm.Print_Area" localSheetId="0">'10A'!$A$1:$AI$101</definedName>
  </definedNames>
  <calcPr calcId="125725"/>
</workbook>
</file>

<file path=xl/calcChain.xml><?xml version="1.0" encoding="utf-8"?>
<calcChain xmlns="http://schemas.openxmlformats.org/spreadsheetml/2006/main">
  <c r="W56" i="1"/>
  <c r="AE56"/>
  <c r="J84" l="1"/>
  <c r="G84"/>
  <c r="I84"/>
  <c r="K69" l="1"/>
  <c r="E91" l="1"/>
  <c r="E92"/>
  <c r="AK99"/>
  <c r="AC99"/>
  <c r="U99"/>
  <c r="M99"/>
  <c r="E99"/>
  <c r="AK98"/>
  <c r="AC98"/>
  <c r="U98"/>
  <c r="M98"/>
  <c r="E98"/>
  <c r="AM97"/>
  <c r="AL97"/>
  <c r="AF97"/>
  <c r="AI97" s="1"/>
  <c r="X97"/>
  <c r="H97"/>
  <c r="AM96"/>
  <c r="AL96"/>
  <c r="AI96"/>
  <c r="AA96"/>
  <c r="S96"/>
  <c r="K96"/>
  <c r="D96"/>
  <c r="B96"/>
  <c r="AM95"/>
  <c r="AL95"/>
  <c r="AI95"/>
  <c r="AA95"/>
  <c r="S95"/>
  <c r="K95"/>
  <c r="D95"/>
  <c r="B95"/>
  <c r="AM94"/>
  <c r="AL94"/>
  <c r="AI94"/>
  <c r="AA94"/>
  <c r="S94"/>
  <c r="K94"/>
  <c r="D94"/>
  <c r="B94"/>
  <c r="AM93"/>
  <c r="AL93"/>
  <c r="AI93"/>
  <c r="AA93"/>
  <c r="S93"/>
  <c r="K93"/>
  <c r="D93"/>
  <c r="B93"/>
  <c r="A97" s="1"/>
  <c r="AK92"/>
  <c r="AC92"/>
  <c r="U92"/>
  <c r="M92"/>
  <c r="AM91"/>
  <c r="AK91"/>
  <c r="AC91"/>
  <c r="U91"/>
  <c r="M91"/>
  <c r="AM65"/>
  <c r="C97" l="1"/>
  <c r="R51" l="1"/>
  <c r="O58" l="1"/>
  <c r="AE52"/>
  <c r="W52"/>
  <c r="O52"/>
  <c r="G52"/>
  <c r="B61"/>
  <c r="O51"/>
  <c r="W49"/>
  <c r="D46"/>
  <c r="AK90" l="1"/>
  <c r="AC90"/>
  <c r="U90"/>
  <c r="M90"/>
  <c r="E90"/>
  <c r="AK89"/>
  <c r="AC89"/>
  <c r="U89"/>
  <c r="M89"/>
  <c r="E89"/>
  <c r="AM88"/>
  <c r="AL88"/>
  <c r="AF88"/>
  <c r="AI88" s="1"/>
  <c r="X88"/>
  <c r="H88"/>
  <c r="AM87"/>
  <c r="AL87"/>
  <c r="AI87"/>
  <c r="AA87"/>
  <c r="S87"/>
  <c r="K87"/>
  <c r="D87"/>
  <c r="B87"/>
  <c r="AM86"/>
  <c r="AL86"/>
  <c r="AI86"/>
  <c r="AA86"/>
  <c r="S86"/>
  <c r="K86"/>
  <c r="D86"/>
  <c r="B86"/>
  <c r="AM85"/>
  <c r="AL85"/>
  <c r="AI85"/>
  <c r="AA85"/>
  <c r="S85"/>
  <c r="K85"/>
  <c r="D85"/>
  <c r="B85"/>
  <c r="AL84"/>
  <c r="AI84"/>
  <c r="AA84"/>
  <c r="S84"/>
  <c r="D84"/>
  <c r="B84"/>
  <c r="AK83"/>
  <c r="AC83"/>
  <c r="U83"/>
  <c r="M83"/>
  <c r="E83"/>
  <c r="AM82"/>
  <c r="AK82"/>
  <c r="AC82"/>
  <c r="U82"/>
  <c r="M82"/>
  <c r="E82"/>
  <c r="C88" l="1"/>
  <c r="A88"/>
  <c r="K84"/>
  <c r="AM84"/>
  <c r="E47" l="1"/>
  <c r="AG36" l="1"/>
  <c r="I36"/>
  <c r="K44" l="1"/>
  <c r="B62" l="1"/>
  <c r="B70"/>
  <c r="AK81"/>
  <c r="AK80"/>
  <c r="AK72"/>
  <c r="AK71"/>
  <c r="AK64"/>
  <c r="AK63"/>
  <c r="AK55"/>
  <c r="AK54"/>
  <c r="AC55"/>
  <c r="AC54"/>
  <c r="AC64"/>
  <c r="AC63"/>
  <c r="AC72"/>
  <c r="AC71"/>
  <c r="AC81"/>
  <c r="AC80"/>
  <c r="U81"/>
  <c r="U80"/>
  <c r="U72"/>
  <c r="U71"/>
  <c r="U64"/>
  <c r="U63"/>
  <c r="U55"/>
  <c r="U54"/>
  <c r="M55"/>
  <c r="M54"/>
  <c r="M64"/>
  <c r="M63"/>
  <c r="M72"/>
  <c r="M71"/>
  <c r="M81"/>
  <c r="M80"/>
  <c r="E81"/>
  <c r="E80"/>
  <c r="E72"/>
  <c r="E71"/>
  <c r="E64"/>
  <c r="E63"/>
  <c r="E55"/>
  <c r="E54"/>
  <c r="E48"/>
  <c r="E57"/>
  <c r="E56"/>
  <c r="E66"/>
  <c r="E65"/>
  <c r="E74"/>
  <c r="E73"/>
  <c r="M74"/>
  <c r="M73"/>
  <c r="M66"/>
  <c r="M65"/>
  <c r="M57"/>
  <c r="M56"/>
  <c r="M48"/>
  <c r="M47"/>
  <c r="U74"/>
  <c r="U73"/>
  <c r="U66"/>
  <c r="U65"/>
  <c r="U57"/>
  <c r="U56"/>
  <c r="U48"/>
  <c r="U47"/>
  <c r="AC74"/>
  <c r="AC73"/>
  <c r="AC66"/>
  <c r="AC65"/>
  <c r="AC57"/>
  <c r="AC56"/>
  <c r="AC48"/>
  <c r="AC47"/>
  <c r="AK74"/>
  <c r="AK73"/>
  <c r="AK65"/>
  <c r="AK56"/>
  <c r="AK47"/>
  <c r="AK26"/>
  <c r="AC26"/>
  <c r="U26"/>
  <c r="M26"/>
  <c r="E26"/>
  <c r="AK37"/>
  <c r="AC37"/>
  <c r="U37"/>
  <c r="M37"/>
  <c r="E37"/>
  <c r="K75" l="1"/>
  <c r="K58"/>
  <c r="AM79" l="1"/>
  <c r="AL79"/>
  <c r="AF79"/>
  <c r="AI79" s="1"/>
  <c r="X79"/>
  <c r="H79"/>
  <c r="AM78"/>
  <c r="AL78"/>
  <c r="AI78"/>
  <c r="AA78"/>
  <c r="S78"/>
  <c r="K78"/>
  <c r="D78"/>
  <c r="B78"/>
  <c r="AM77"/>
  <c r="AL77"/>
  <c r="AI77"/>
  <c r="AA77"/>
  <c r="S77"/>
  <c r="K77"/>
  <c r="D77"/>
  <c r="B77"/>
  <c r="AM76"/>
  <c r="AL76"/>
  <c r="AI76"/>
  <c r="AA76"/>
  <c r="S76"/>
  <c r="K76"/>
  <c r="D76"/>
  <c r="B76"/>
  <c r="AM75"/>
  <c r="AL75"/>
  <c r="AI75"/>
  <c r="AA75"/>
  <c r="S75"/>
  <c r="D75"/>
  <c r="B75"/>
  <c r="AM73"/>
  <c r="AE74"/>
  <c r="W74"/>
  <c r="O74"/>
  <c r="G74"/>
  <c r="A79" l="1"/>
  <c r="C79"/>
  <c r="AL73"/>
  <c r="AL74" s="1"/>
  <c r="AH32" l="1"/>
  <c r="O30" l="1"/>
  <c r="W66" l="1"/>
  <c r="O66"/>
  <c r="D69"/>
  <c r="D68"/>
  <c r="D67"/>
  <c r="D61"/>
  <c r="D60"/>
  <c r="D59"/>
  <c r="D51"/>
  <c r="D50"/>
  <c r="AF53"/>
  <c r="P53"/>
  <c r="X53"/>
  <c r="AE39"/>
  <c r="AI34"/>
  <c r="G66"/>
  <c r="AE66"/>
  <c r="AL65" l="1"/>
  <c r="G30"/>
  <c r="B69" l="1"/>
  <c r="B68"/>
  <c r="B67"/>
  <c r="H70"/>
  <c r="H62"/>
  <c r="P70"/>
  <c r="P62"/>
  <c r="X62"/>
  <c r="AF62"/>
  <c r="AF70"/>
  <c r="X70"/>
  <c r="H44"/>
  <c r="AL66"/>
  <c r="B71" l="1"/>
  <c r="A70"/>
  <c r="C70"/>
  <c r="C62"/>
  <c r="AI70" l="1"/>
  <c r="AI69"/>
  <c r="AI68"/>
  <c r="AI67"/>
  <c r="AA69"/>
  <c r="AA68"/>
  <c r="AA67"/>
  <c r="S69"/>
  <c r="S68"/>
  <c r="S67"/>
  <c r="K68"/>
  <c r="K67"/>
  <c r="P44" l="1"/>
  <c r="X44"/>
  <c r="AF44"/>
  <c r="AL37"/>
  <c r="I30"/>
  <c r="D30" s="1"/>
  <c r="AE30"/>
  <c r="D31"/>
  <c r="B31"/>
  <c r="C44" l="1"/>
  <c r="AL26" l="1"/>
  <c r="AF34"/>
  <c r="X34"/>
  <c r="P34"/>
  <c r="H34"/>
  <c r="C34" l="1"/>
  <c r="AE18" l="1"/>
  <c r="C6" l="1"/>
  <c r="C7"/>
  <c r="C9"/>
  <c r="C10"/>
  <c r="C11"/>
  <c r="C13"/>
  <c r="C19"/>
  <c r="C20"/>
  <c r="C21"/>
  <c r="C12"/>
  <c r="C8" l="1"/>
  <c r="C14" s="1"/>
  <c r="C24"/>
  <c r="AI32"/>
  <c r="AL16" l="1"/>
  <c r="AL17"/>
  <c r="AM62"/>
  <c r="AL62"/>
  <c r="AM61"/>
  <c r="AL61"/>
  <c r="AM60"/>
  <c r="AL60"/>
  <c r="AM59"/>
  <c r="AL59"/>
  <c r="AM58"/>
  <c r="AL58"/>
  <c r="AM56"/>
  <c r="AM53"/>
  <c r="AL53"/>
  <c r="AM52"/>
  <c r="AM51"/>
  <c r="AL51"/>
  <c r="AM50"/>
  <c r="AL50"/>
  <c r="AM49"/>
  <c r="AL49"/>
  <c r="AM47"/>
  <c r="AM44"/>
  <c r="AL44"/>
  <c r="AM43"/>
  <c r="AL43"/>
  <c r="AM42"/>
  <c r="AL42"/>
  <c r="AM41"/>
  <c r="AL41"/>
  <c r="AM40"/>
  <c r="AL40"/>
  <c r="AM39"/>
  <c r="AL39"/>
  <c r="AM34"/>
  <c r="AL34"/>
  <c r="AM33"/>
  <c r="AL33"/>
  <c r="AM32"/>
  <c r="AL32"/>
  <c r="AM30"/>
  <c r="AL30"/>
  <c r="AM29"/>
  <c r="AL29"/>
  <c r="AM28"/>
  <c r="AL28"/>
  <c r="AM23"/>
  <c r="AM22"/>
  <c r="AM21"/>
  <c r="AM20"/>
  <c r="AM25"/>
  <c r="AM26"/>
  <c r="AM18"/>
  <c r="AL18"/>
  <c r="AL23"/>
  <c r="AL22"/>
  <c r="AL21"/>
  <c r="AL20"/>
  <c r="B19" l="1"/>
  <c r="B21"/>
  <c r="AL19" l="1"/>
  <c r="AM13"/>
  <c r="AL13"/>
  <c r="AM12"/>
  <c r="AL12"/>
  <c r="AM11"/>
  <c r="AL11"/>
  <c r="AM10"/>
  <c r="AL10"/>
  <c r="AM9"/>
  <c r="AL9"/>
  <c r="AL8"/>
  <c r="AM7"/>
  <c r="AM6"/>
  <c r="AL6"/>
  <c r="AM8" l="1"/>
  <c r="AL14"/>
  <c r="B33"/>
  <c r="B32"/>
  <c r="B30"/>
  <c r="D33"/>
  <c r="D32"/>
  <c r="B16" l="1"/>
  <c r="B17"/>
  <c r="B23"/>
  <c r="B22"/>
  <c r="AI62" l="1"/>
  <c r="AI61"/>
  <c r="AA61"/>
  <c r="S61"/>
  <c r="K61"/>
  <c r="AI60"/>
  <c r="AA60"/>
  <c r="S60"/>
  <c r="K60"/>
  <c r="B60"/>
  <c r="AI59"/>
  <c r="AA59"/>
  <c r="S59"/>
  <c r="K59"/>
  <c r="B59"/>
  <c r="AI58"/>
  <c r="AA58"/>
  <c r="S58"/>
  <c r="D58"/>
  <c r="B58"/>
  <c r="AI52"/>
  <c r="AA52"/>
  <c r="S52"/>
  <c r="D52"/>
  <c r="AI51"/>
  <c r="AA51"/>
  <c r="S51"/>
  <c r="K51"/>
  <c r="B51"/>
  <c r="AI50"/>
  <c r="AA50"/>
  <c r="S50"/>
  <c r="K50"/>
  <c r="B50"/>
  <c r="AI49"/>
  <c r="AA49"/>
  <c r="S49"/>
  <c r="K49"/>
  <c r="D49"/>
  <c r="B49"/>
  <c r="B63" l="1"/>
  <c r="B54"/>
  <c r="AL56"/>
  <c r="AL57" s="1"/>
  <c r="A53"/>
  <c r="A62"/>
  <c r="AH13" l="1"/>
  <c r="B13"/>
  <c r="D11"/>
  <c r="D9"/>
  <c r="AG8"/>
  <c r="AG14" s="1"/>
  <c r="AG15" s="1"/>
  <c r="AG19" s="1"/>
  <c r="AG24" s="1"/>
  <c r="AG27" s="1"/>
  <c r="AG35" s="1"/>
  <c r="AE7"/>
  <c r="AE8" s="1"/>
  <c r="AE14" s="1"/>
  <c r="Y8"/>
  <c r="Y14" s="1"/>
  <c r="W7"/>
  <c r="W8" s="1"/>
  <c r="W14" s="1"/>
  <c r="AE19"/>
  <c r="AE24" s="1"/>
  <c r="AE25" s="1"/>
  <c r="W18"/>
  <c r="W19" s="1"/>
  <c r="O18"/>
  <c r="O19" s="1"/>
  <c r="O7"/>
  <c r="O8" s="1"/>
  <c r="O14" s="1"/>
  <c r="Q8"/>
  <c r="Q14" s="1"/>
  <c r="Q15" s="1"/>
  <c r="Q19" s="1"/>
  <c r="Q24" s="1"/>
  <c r="Q27" s="1"/>
  <c r="Q35" s="1"/>
  <c r="I8"/>
  <c r="I14" s="1"/>
  <c r="D7"/>
  <c r="D6"/>
  <c r="B6"/>
  <c r="Y15" l="1"/>
  <c r="AM14"/>
  <c r="W24"/>
  <c r="W25" s="1"/>
  <c r="D8"/>
  <c r="Y19" l="1"/>
  <c r="Y24" l="1"/>
  <c r="Y27" s="1"/>
  <c r="Y35" s="1"/>
  <c r="Y38" s="1"/>
  <c r="Y45" s="1"/>
  <c r="Y48" s="1"/>
  <c r="Y54" s="1"/>
  <c r="Y55" s="1"/>
  <c r="Y57" s="1"/>
  <c r="Y63" s="1"/>
  <c r="Y64" s="1"/>
  <c r="Y66" s="1"/>
  <c r="Y71" s="1"/>
  <c r="Y72" s="1"/>
  <c r="Y74" s="1"/>
  <c r="K39"/>
  <c r="AI30"/>
  <c r="K30"/>
  <c r="Y80" l="1"/>
  <c r="AI43"/>
  <c r="AI42"/>
  <c r="AI41"/>
  <c r="AI40"/>
  <c r="AI39"/>
  <c r="K43"/>
  <c r="K42"/>
  <c r="K41"/>
  <c r="K40"/>
  <c r="K34"/>
  <c r="K29"/>
  <c r="K28"/>
  <c r="K23"/>
  <c r="K22"/>
  <c r="K20"/>
  <c r="K9"/>
  <c r="Y81" l="1"/>
  <c r="Y83" s="1"/>
  <c r="Y89" s="1"/>
  <c r="Y90" s="1"/>
  <c r="Y92" s="1"/>
  <c r="Y98" s="1"/>
  <c r="Y99" s="1"/>
  <c r="D44"/>
  <c r="B44"/>
  <c r="D43"/>
  <c r="B43"/>
  <c r="D42"/>
  <c r="B42"/>
  <c r="D41"/>
  <c r="B41"/>
  <c r="D40"/>
  <c r="B40"/>
  <c r="D39"/>
  <c r="B39"/>
  <c r="D34"/>
  <c r="B34"/>
  <c r="D29"/>
  <c r="B29"/>
  <c r="D28"/>
  <c r="B28"/>
  <c r="D20"/>
  <c r="B20"/>
  <c r="B24" s="1"/>
  <c r="D13"/>
  <c r="D12"/>
  <c r="B12"/>
  <c r="B11"/>
  <c r="D10"/>
  <c r="B10"/>
  <c r="B9"/>
  <c r="B8"/>
  <c r="G18"/>
  <c r="G19" s="1"/>
  <c r="G7"/>
  <c r="G8" s="1"/>
  <c r="K13"/>
  <c r="AA13"/>
  <c r="AI13"/>
  <c r="K12"/>
  <c r="K11"/>
  <c r="AA43"/>
  <c r="S43"/>
  <c r="AA42"/>
  <c r="S42"/>
  <c r="AA41"/>
  <c r="S41"/>
  <c r="AA40"/>
  <c r="S40"/>
  <c r="AA39"/>
  <c r="S39"/>
  <c r="AA34"/>
  <c r="S34"/>
  <c r="AA30"/>
  <c r="S30"/>
  <c r="AA29"/>
  <c r="S29"/>
  <c r="AI28"/>
  <c r="AA28"/>
  <c r="S28"/>
  <c r="AI23"/>
  <c r="AA23"/>
  <c r="S23"/>
  <c r="AI22"/>
  <c r="AA22"/>
  <c r="S22"/>
  <c r="AI21"/>
  <c r="AA21"/>
  <c r="AI20"/>
  <c r="AA20"/>
  <c r="S20"/>
  <c r="AI12"/>
  <c r="AA12"/>
  <c r="S12"/>
  <c r="AI11"/>
  <c r="AA11"/>
  <c r="S11"/>
  <c r="AI10"/>
  <c r="AA10"/>
  <c r="S10"/>
  <c r="K10"/>
  <c r="AI9"/>
  <c r="AA9"/>
  <c r="S9"/>
  <c r="I15"/>
  <c r="AM15" s="1"/>
  <c r="B45" l="1"/>
  <c r="A44"/>
  <c r="B14"/>
  <c r="A34"/>
  <c r="D14"/>
  <c r="B35"/>
  <c r="G14"/>
  <c r="I19"/>
  <c r="AM19" s="1"/>
  <c r="D15"/>
  <c r="G24" l="1"/>
  <c r="G25" s="1"/>
  <c r="D18" l="1"/>
  <c r="D19" s="1"/>
  <c r="S21"/>
  <c r="O24"/>
  <c r="O25" s="1"/>
  <c r="AL24" l="1"/>
  <c r="I24"/>
  <c r="K21"/>
  <c r="D21"/>
  <c r="D24" s="1"/>
  <c r="I27" l="1"/>
  <c r="AM24"/>
  <c r="AE27"/>
  <c r="AE35" s="1"/>
  <c r="AE36" s="1"/>
  <c r="O27"/>
  <c r="O35" s="1"/>
  <c r="O36" s="1"/>
  <c r="D27"/>
  <c r="D35" s="1"/>
  <c r="AL47"/>
  <c r="AL48" s="1"/>
  <c r="W27" l="1"/>
  <c r="W35" s="1"/>
  <c r="W36" s="1"/>
  <c r="AL25"/>
  <c r="I35"/>
  <c r="I38" s="1"/>
  <c r="I45" s="1"/>
  <c r="AM27"/>
  <c r="G27"/>
  <c r="G35" s="1"/>
  <c r="G36" s="1"/>
  <c r="G38" s="1"/>
  <c r="G45" s="1"/>
  <c r="B25"/>
  <c r="G46" l="1"/>
  <c r="G48" s="1"/>
  <c r="AL35"/>
  <c r="AL27"/>
  <c r="B36" l="1"/>
  <c r="I48"/>
  <c r="I54" s="1"/>
  <c r="I55" l="1"/>
  <c r="I57" l="1"/>
  <c r="I63" l="1"/>
  <c r="I64" s="1"/>
  <c r="I66" s="1"/>
  <c r="AI29"/>
  <c r="AM35"/>
  <c r="I71" l="1"/>
  <c r="I72" s="1"/>
  <c r="I74" s="1"/>
  <c r="D36"/>
  <c r="I80" l="1"/>
  <c r="I81" s="1"/>
  <c r="I83" s="1"/>
  <c r="AM36"/>
  <c r="AG38"/>
  <c r="I89" l="1"/>
  <c r="AG45"/>
  <c r="I90" l="1"/>
  <c r="I92" s="1"/>
  <c r="AG46"/>
  <c r="I98" l="1"/>
  <c r="AG48"/>
  <c r="AG54" s="1"/>
  <c r="AG55" s="1"/>
  <c r="I99" l="1"/>
  <c r="AG57"/>
  <c r="O38"/>
  <c r="AG63" l="1"/>
  <c r="AG64" s="1"/>
  <c r="O45"/>
  <c r="O46" s="1"/>
  <c r="O48" s="1"/>
  <c r="AG66" l="1"/>
  <c r="O54"/>
  <c r="W38"/>
  <c r="W45" s="1"/>
  <c r="W46" s="1"/>
  <c r="O55" l="1"/>
  <c r="O57" s="1"/>
  <c r="O63" s="1"/>
  <c r="O64" s="1"/>
  <c r="AG71"/>
  <c r="AE38"/>
  <c r="O71" l="1"/>
  <c r="O72" s="1"/>
  <c r="AG72"/>
  <c r="AE45"/>
  <c r="AE46" s="1"/>
  <c r="AL38"/>
  <c r="B38"/>
  <c r="O80" l="1"/>
  <c r="O81" s="1"/>
  <c r="AG74"/>
  <c r="AL45"/>
  <c r="AE48"/>
  <c r="AG80" l="1"/>
  <c r="AE54"/>
  <c r="AE55" s="1"/>
  <c r="B46"/>
  <c r="AG81" l="1"/>
  <c r="AG83" s="1"/>
  <c r="AG89" s="1"/>
  <c r="AG90" s="1"/>
  <c r="AG92" s="1"/>
  <c r="AG98" s="1"/>
  <c r="AG99" s="1"/>
  <c r="W48"/>
  <c r="B48" s="1"/>
  <c r="AE57"/>
  <c r="AE63" s="1"/>
  <c r="W54" l="1"/>
  <c r="W55" s="1"/>
  <c r="W57" l="1"/>
  <c r="AE71"/>
  <c r="AE72" s="1"/>
  <c r="AE80" s="1"/>
  <c r="AE81" s="1"/>
  <c r="W63" l="1"/>
  <c r="W71" l="1"/>
  <c r="W72" s="1"/>
  <c r="W80" l="1"/>
  <c r="W81" l="1"/>
  <c r="AM37"/>
  <c r="D37"/>
  <c r="D38" s="1"/>
  <c r="D45" s="1"/>
  <c r="Q38"/>
  <c r="AM38" s="1"/>
  <c r="Q45" l="1"/>
  <c r="AM45" l="1"/>
  <c r="Q48" l="1"/>
  <c r="AM46"/>
  <c r="D48"/>
  <c r="D54" s="1"/>
  <c r="Q54" l="1"/>
  <c r="AM48"/>
  <c r="AM54" l="1"/>
  <c r="Q55"/>
  <c r="Q57" l="1"/>
  <c r="AM55"/>
  <c r="D55"/>
  <c r="D57" s="1"/>
  <c r="D63" s="1"/>
  <c r="Q63" l="1"/>
  <c r="AM57"/>
  <c r="Q64" l="1"/>
  <c r="AM63"/>
  <c r="AM64" l="1"/>
  <c r="D64"/>
  <c r="D66" s="1"/>
  <c r="D71" s="1"/>
  <c r="Q66"/>
  <c r="Q71" l="1"/>
  <c r="AM66"/>
  <c r="AM71" l="1"/>
  <c r="Q72"/>
  <c r="D72" l="1"/>
  <c r="D74" s="1"/>
  <c r="Q74"/>
  <c r="AM72"/>
  <c r="D80" l="1"/>
  <c r="Q80"/>
  <c r="AM74"/>
  <c r="Q81" l="1"/>
  <c r="Q83" s="1"/>
  <c r="AM80"/>
  <c r="Q89" l="1"/>
  <c r="AM83"/>
  <c r="D81"/>
  <c r="D83" s="1"/>
  <c r="D89" s="1"/>
  <c r="AM81"/>
  <c r="Q90" l="1"/>
  <c r="Q92" s="1"/>
  <c r="AM89"/>
  <c r="Q98" l="1"/>
  <c r="AM92"/>
  <c r="D90"/>
  <c r="D92" s="1"/>
  <c r="D98" s="1"/>
  <c r="AM90"/>
  <c r="Q99" l="1"/>
  <c r="AM98"/>
  <c r="H53"/>
  <c r="C53" s="1"/>
  <c r="AM99" l="1"/>
  <c r="D99"/>
  <c r="AL52"/>
  <c r="G54"/>
  <c r="G55" s="1"/>
  <c r="K52"/>
  <c r="AL54" l="1"/>
  <c r="G57" l="1"/>
  <c r="G63" l="1"/>
  <c r="B57"/>
  <c r="AL63" l="1"/>
  <c r="B64" l="1"/>
  <c r="G71" l="1"/>
  <c r="B66"/>
  <c r="G72" l="1"/>
  <c r="AL71"/>
  <c r="B72" l="1"/>
  <c r="G80" l="1"/>
  <c r="B74"/>
  <c r="B80" l="1"/>
  <c r="AL80"/>
  <c r="G81"/>
  <c r="G83" l="1"/>
  <c r="AE83"/>
  <c r="AE89" s="1"/>
  <c r="AE90" s="1"/>
  <c r="O83"/>
  <c r="O89" s="1"/>
  <c r="O90" s="1"/>
  <c r="B81"/>
  <c r="W83" l="1"/>
  <c r="W89" s="1"/>
  <c r="W90" s="1"/>
  <c r="AL82"/>
  <c r="AL83" s="1"/>
  <c r="G89"/>
  <c r="B83" l="1"/>
  <c r="G90"/>
  <c r="B90" s="1"/>
  <c r="AL89"/>
  <c r="B89" l="1"/>
  <c r="AE92" l="1"/>
  <c r="AE98" s="1"/>
  <c r="AE99" s="1"/>
  <c r="G92"/>
  <c r="O92"/>
  <c r="O98" s="1"/>
  <c r="O99" s="1"/>
  <c r="W92" l="1"/>
  <c r="W98" s="1"/>
  <c r="AL91"/>
  <c r="AL92" s="1"/>
  <c r="G98"/>
  <c r="G99" s="1"/>
  <c r="B92" l="1"/>
  <c r="B98" s="1"/>
  <c r="W99"/>
  <c r="B99" s="1"/>
  <c r="AL98"/>
</calcChain>
</file>

<file path=xl/sharedStrings.xml><?xml version="1.0" encoding="utf-8"?>
<sst xmlns="http://schemas.openxmlformats.org/spreadsheetml/2006/main" count="514" uniqueCount="241">
  <si>
    <t>COUNTY BALANCE SHEET</t>
  </si>
  <si>
    <t xml:space="preserve"> </t>
  </si>
  <si>
    <t>TASK FORCE #10A TOTALS</t>
  </si>
  <si>
    <t>ANTRIM</t>
  </si>
  <si>
    <t>Work Description</t>
  </si>
  <si>
    <t>STP</t>
  </si>
  <si>
    <t>FED-D</t>
  </si>
  <si>
    <t>STATE-D</t>
  </si>
  <si>
    <t>LOCAL</t>
  </si>
  <si>
    <t>TOTAL</t>
  </si>
  <si>
    <t>CHARLEVOIX</t>
  </si>
  <si>
    <t>EMMET</t>
  </si>
  <si>
    <t>KALKASKA</t>
  </si>
  <si>
    <t xml:space="preserve">   STP</t>
  </si>
  <si>
    <t>Reconstruct</t>
  </si>
  <si>
    <t>Resurface</t>
  </si>
  <si>
    <t>Facility Improvements</t>
  </si>
  <si>
    <t>'14 TARGET</t>
  </si>
  <si>
    <t>'14 BEG BAL</t>
  </si>
  <si>
    <t>Countywide Pavement Markings (JN109668)</t>
  </si>
  <si>
    <t>Pavement Markings</t>
  </si>
  <si>
    <t>Transit (JN 109671)</t>
  </si>
  <si>
    <t>Maintenance Equipment</t>
  </si>
  <si>
    <t>Transit (JN 119381)</t>
  </si>
  <si>
    <t>C48 (VL-Church, Ellsworth)(JN102485)</t>
  </si>
  <si>
    <t>Transit  (JN 112839)</t>
  </si>
  <si>
    <t>'14 END BAL</t>
  </si>
  <si>
    <t>'15 TARGET</t>
  </si>
  <si>
    <t>'15 BEG BAL</t>
  </si>
  <si>
    <t>Transit(JN 119357)</t>
  </si>
  <si>
    <t>Powers Rd (North Conway Road - Luce) (JN 112842)</t>
  </si>
  <si>
    <t>Boardman Rd (Us 131 - M66) (JN 112845)</t>
  </si>
  <si>
    <t>'15 END BAL</t>
  </si>
  <si>
    <t>'16 BEG BAL</t>
  </si>
  <si>
    <t>Countywide Pavement Markings (JN119356)</t>
  </si>
  <si>
    <t>State Street (Carpenter - US31&amp; Clinton - US31, Charlevoix)(JN 119359)</t>
  </si>
  <si>
    <t>Restoration</t>
  </si>
  <si>
    <t>West Central Ave (DeJauncy to Wilderness Park Dr) (JN 112843)</t>
  </si>
  <si>
    <t>First St/Island Lake Rd(US131 - Airport Rd)(JN 116286)</t>
  </si>
  <si>
    <t>'16 END BAL</t>
  </si>
  <si>
    <t>'17 BEG BAL</t>
  </si>
  <si>
    <t>North Conway Road (Powers - Edward Rd)(JN 119374)</t>
  </si>
  <si>
    <t>'17 END BAL</t>
  </si>
  <si>
    <t>State Street(Hurlbut to Clinton, Charlevoix)(JN 121058)</t>
  </si>
  <si>
    <t xml:space="preserve">C42 </t>
  </si>
  <si>
    <t>Transit</t>
  </si>
  <si>
    <t>Rapid City Rd (M 72 north)</t>
  </si>
  <si>
    <t>Supply Rd (131 to CL)</t>
  </si>
  <si>
    <t>(STP $708730 and D &amp;182,491 and local $533,959)</t>
  </si>
  <si>
    <t>(STP $200,000 and D $100,000 and local $75,000)</t>
  </si>
  <si>
    <t>Bus Purchase/misc equip</t>
  </si>
  <si>
    <t>Starvation Lake Rd (Blue Lake TL - CR 571)(JN 116285)</t>
  </si>
  <si>
    <t>bus</t>
  </si>
  <si>
    <t>County Wide</t>
  </si>
  <si>
    <t>Transit maintenance equipment and parts</t>
  </si>
  <si>
    <t>Snow Removal Equp</t>
  </si>
  <si>
    <t>CON</t>
  </si>
  <si>
    <t/>
  </si>
  <si>
    <t>STL</t>
  </si>
  <si>
    <t>Fiscal Year</t>
  </si>
  <si>
    <t>County</t>
  </si>
  <si>
    <t>Respon-sible Agency</t>
  </si>
  <si>
    <t>Project Name</t>
  </si>
  <si>
    <t>Limits</t>
  </si>
  <si>
    <t>Length</t>
  </si>
  <si>
    <t>Primary Work Type</t>
  </si>
  <si>
    <t>Project Description</t>
  </si>
  <si>
    <t>Phase</t>
  </si>
  <si>
    <t xml:space="preserve">Federal Cost </t>
  </si>
  <si>
    <t>Federal Fund Source</t>
  </si>
  <si>
    <t>State Cost ($1000s)</t>
  </si>
  <si>
    <t>State Fund Source</t>
  </si>
  <si>
    <t>Local Cost ($1000s)</t>
  </si>
  <si>
    <t>Local Fund Source</t>
  </si>
  <si>
    <t xml:space="preserve">Total Phase Cost </t>
  </si>
  <si>
    <t>MDOT Job No.</t>
  </si>
  <si>
    <t>Antrim County</t>
  </si>
  <si>
    <t>Countywide Pavement Markings</t>
  </si>
  <si>
    <t>Traffic ops/safety</t>
  </si>
  <si>
    <t>Pavement Marking</t>
  </si>
  <si>
    <t>Emmet</t>
  </si>
  <si>
    <t>COA</t>
  </si>
  <si>
    <t>Emmet County</t>
  </si>
  <si>
    <t>Wilderness Park Dr.</t>
  </si>
  <si>
    <t>Cecil Bay to E. Straits View</t>
  </si>
  <si>
    <t>Crush &amp; Shape</t>
  </si>
  <si>
    <t>M</t>
  </si>
  <si>
    <t>CNTY</t>
  </si>
  <si>
    <t>Headlands Rd.</t>
  </si>
  <si>
    <t>W. Central to Trails End</t>
  </si>
  <si>
    <t>Trails End to N &amp; W</t>
  </si>
  <si>
    <t>Levering Rd.</t>
  </si>
  <si>
    <t>Lookout Rd. to State Rd.</t>
  </si>
  <si>
    <t>Miscellaneous</t>
  </si>
  <si>
    <t>Charlevoix County Public Transportation</t>
  </si>
  <si>
    <t>Area Wide Transit</t>
  </si>
  <si>
    <t>Charlevoix Co Transit, Boyne City</t>
  </si>
  <si>
    <t>Transit vehicle rehabilitation</t>
  </si>
  <si>
    <t>Conversion to Propane</t>
  </si>
  <si>
    <t>TRAL</t>
  </si>
  <si>
    <t>Transit operations equipment</t>
  </si>
  <si>
    <t>Computer Equipment</t>
  </si>
  <si>
    <t>Bike Racks</t>
  </si>
  <si>
    <t>Transit vehicle additions/replacements</t>
  </si>
  <si>
    <t>2 Cutaway Bus</t>
  </si>
  <si>
    <t>Bus Replacement</t>
  </si>
  <si>
    <t>Shippey Rd (CL N 2 Miles) (JN 119599)</t>
  </si>
  <si>
    <t>'13 CALC END BAL</t>
  </si>
  <si>
    <t>'13 ADJ END BAL</t>
  </si>
  <si>
    <t>'14 CALC END BAL</t>
  </si>
  <si>
    <t>'14 ADJ END BAL</t>
  </si>
  <si>
    <t>'16 CALC END BAL</t>
  </si>
  <si>
    <t>'16 ADJ END BAL</t>
  </si>
  <si>
    <t>'15 CALC END BAL</t>
  </si>
  <si>
    <t>'15 ADJ END BAL</t>
  </si>
  <si>
    <t>'17 CALC END BAL</t>
  </si>
  <si>
    <t>TASK FORCE #10A</t>
  </si>
  <si>
    <t>Bus Purchase</t>
  </si>
  <si>
    <t>C42 ** DID NOT GET OBLIGATED **</t>
  </si>
  <si>
    <t>'17 ADJ END BAL</t>
  </si>
  <si>
    <t>'18 ADJ END BAL</t>
  </si>
  <si>
    <t>'18 BEG BAL</t>
  </si>
  <si>
    <t>'18 CALC END BAL</t>
  </si>
  <si>
    <t>'19 TARGET</t>
  </si>
  <si>
    <t>'19 BEG BAL</t>
  </si>
  <si>
    <t>'19 CALC END BAL</t>
  </si>
  <si>
    <t>Spencer Rd (M66 east appr 4 miles)</t>
  </si>
  <si>
    <t>pavement marking</t>
  </si>
  <si>
    <t>Countywide pavement marking</t>
  </si>
  <si>
    <t xml:space="preserve">'15 Adj FY'13 paybacks </t>
  </si>
  <si>
    <t>'15 Adj FY'13 returns</t>
  </si>
  <si>
    <t>C 65 (Ellsworth Rd) M88 to Vil of Ellsworth</t>
  </si>
  <si>
    <t>chip seal</t>
  </si>
  <si>
    <t>571 - Vil of Mancelona to cnty line</t>
  </si>
  <si>
    <t>overlay</t>
  </si>
  <si>
    <t>furnace</t>
  </si>
  <si>
    <t>Tansit</t>
  </si>
  <si>
    <t>Bus</t>
  </si>
  <si>
    <t>Maintenance items</t>
  </si>
  <si>
    <t>Office equipment</t>
  </si>
  <si>
    <t>Communication</t>
  </si>
  <si>
    <t>software</t>
  </si>
  <si>
    <t>County wide pavement marking</t>
  </si>
  <si>
    <t>Check totals</t>
  </si>
  <si>
    <t>Transit (55000)</t>
  </si>
  <si>
    <t>Boyne City fund advance construct</t>
  </si>
  <si>
    <t>SET ASIDE</t>
  </si>
  <si>
    <t>CR 612</t>
  </si>
  <si>
    <t>Kalkaska/Antrim STP/StD swap</t>
  </si>
  <si>
    <t>for Starvation Lk</t>
  </si>
  <si>
    <t>for C42</t>
  </si>
  <si>
    <t xml:space="preserve"> - </t>
  </si>
  <si>
    <t>'19 ADJ END BAL</t>
  </si>
  <si>
    <t>'20 BEG BAL</t>
  </si>
  <si>
    <t>Court Street (Lake Street - Wildwood Harbor, Boyne City)(JN 119358)($501,604)</t>
  </si>
  <si>
    <t>'20 TARGET</t>
  </si>
  <si>
    <t>Spencer/571 (Twp line to Sigma)</t>
  </si>
  <si>
    <t>C&amp;S + resurface</t>
  </si>
  <si>
    <t>C&amp;S</t>
  </si>
  <si>
    <t>Waters St - M66 to city limits City EJ</t>
  </si>
  <si>
    <t>N Lake St - N St to Court St Boyne City</t>
  </si>
  <si>
    <t>Marion Center Rd - Cty Line to North</t>
  </si>
  <si>
    <t>resurface</t>
  </si>
  <si>
    <t>N Lake St - Court to W Mi Ave Boyne City</t>
  </si>
  <si>
    <t>State - City Charlevoix</t>
  </si>
  <si>
    <t>C&amp;s + overlay</t>
  </si>
  <si>
    <t>Marion Center Rd - N of Cnty line to N</t>
  </si>
  <si>
    <t>Wilderness Park Dr (Cecil Bay to east 2.1miles)</t>
  </si>
  <si>
    <t>'16 Actual 3-15-2016</t>
  </si>
  <si>
    <t>Starvation Lake Rd (Safety)(JN 127388)</t>
  </si>
  <si>
    <t>'20 CALC END BAL</t>
  </si>
  <si>
    <t>'20 ADJ END BAL</t>
  </si>
  <si>
    <t>'21 TARGET</t>
  </si>
  <si>
    <t>'21 BEG BAL</t>
  </si>
  <si>
    <t>'21 CALC END BAL</t>
  </si>
  <si>
    <t>'21 ADJ END BAL</t>
  </si>
  <si>
    <t>Cairn Hwy</t>
  </si>
  <si>
    <t>Marion Center Road</t>
  </si>
  <si>
    <t>crush &amp; shape</t>
  </si>
  <si>
    <t>facility improvements</t>
  </si>
  <si>
    <t>'16 ALLOCATION</t>
  </si>
  <si>
    <t>'17 ALLOCATION</t>
  </si>
  <si>
    <t>CR 612 - W Bear Lk to Blue Lk</t>
  </si>
  <si>
    <t>bid savings</t>
  </si>
  <si>
    <t>net bid savings</t>
  </si>
  <si>
    <t>Transit - moved to 2017</t>
  </si>
  <si>
    <t>Transit - moved from 2018</t>
  </si>
  <si>
    <t>North Conway Road (2017 bid savings added)</t>
  </si>
  <si>
    <t>'18 ALLOCATION</t>
  </si>
  <si>
    <t>'22 TARGET</t>
  </si>
  <si>
    <t>'22 BEG BAL</t>
  </si>
  <si>
    <t>'22 CALC END BAL</t>
  </si>
  <si>
    <t>'22 ADJ END BAL</t>
  </si>
  <si>
    <t>C 48 - Vil of Ellsworth to US 31</t>
  </si>
  <si>
    <t>.</t>
  </si>
  <si>
    <t xml:space="preserve">correction </t>
  </si>
  <si>
    <t>van/paving</t>
  </si>
  <si>
    <t>computer</t>
  </si>
  <si>
    <t>Advance construct-Marion Center</t>
  </si>
  <si>
    <t>mill and fill</t>
  </si>
  <si>
    <t>ultrathin OL</t>
  </si>
  <si>
    <t>'23 TARGET</t>
  </si>
  <si>
    <t>'23 BEG BAL</t>
  </si>
  <si>
    <t>'23 CALC END BAL</t>
  </si>
  <si>
    <t>'23 ADJ END BAL</t>
  </si>
  <si>
    <t>Advance construct-C 38</t>
  </si>
  <si>
    <t>C 38 - Vil of Mancelona to Bocook</t>
  </si>
  <si>
    <t>C 38 - Bocook to cnty line</t>
  </si>
  <si>
    <t>Plum Valley (Rapid Cty Rd to US-131)/Twin Lake (US-131</t>
  </si>
  <si>
    <t>Clarion Rd (US-131 to River Rd.)</t>
  </si>
  <si>
    <t>Computer Hardware</t>
  </si>
  <si>
    <t>Transit - Ironton Ferry</t>
  </si>
  <si>
    <t>Thumb Lake Rd. (Slashing Rd - CL)</t>
  </si>
  <si>
    <t>State St. - City of Charlevoix</t>
  </si>
  <si>
    <t>CR 571</t>
  </si>
  <si>
    <t>Fletcher Rd</t>
  </si>
  <si>
    <t>Headlands/Wilderness Park Dr (Central Ave east 1.13 miles)</t>
  </si>
  <si>
    <t>KCRC swapped $82,000 in State D with ECRC for $82,000 in STL</t>
  </si>
  <si>
    <t>Transit - Straits Region Ride</t>
  </si>
  <si>
    <t>ILLUSTRATIVE LIST</t>
  </si>
  <si>
    <t>3 passenger vehicles for NEMT</t>
  </si>
  <si>
    <t>replace 2 cutaway buses</t>
  </si>
  <si>
    <t>new wash bay equipment</t>
  </si>
  <si>
    <t>facility upgrade office and replace aging equipment</t>
  </si>
  <si>
    <t>facility repair and upgrade HVAC system</t>
  </si>
  <si>
    <t>upgrade of cold storage building</t>
  </si>
  <si>
    <t>Transit - Straits Regional Ride - bus purchase</t>
  </si>
  <si>
    <t>Transit - bus purchase</t>
  </si>
  <si>
    <t>mill &amp; fill (JN205635)</t>
  </si>
  <si>
    <t>.53 miles Reconstruct (JN205622)</t>
  </si>
  <si>
    <t>N Conway Rd (Edward Rd - Brutus Rd - 2 miles) (JN205621)</t>
  </si>
  <si>
    <t>Expansion Van (JN205537)</t>
  </si>
  <si>
    <t>Levering Rd (US-31 west 2.23 miles) (JN205507)</t>
  </si>
  <si>
    <t>Transit (JN205752)</t>
  </si>
  <si>
    <t>Transit (JN205645)</t>
  </si>
  <si>
    <t>Transit (JN205639)</t>
  </si>
  <si>
    <t>Transit (JN205751)</t>
  </si>
  <si>
    <t>Transit (JN205747)</t>
  </si>
  <si>
    <t>Transit (JN205494)</t>
  </si>
  <si>
    <t>Lund (JN130367) - M66 to Good</t>
  </si>
  <si>
    <t>Levering Rd (Pleasantview Rd to 0.33 mi. east of Bill Rd)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</si>
</sst>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164" formatCode="0.0%"/>
    <numFmt numFmtId="165" formatCode="#,##0,"/>
  </numFmts>
  <fonts count="19">
    <font>
      <sz val="10"/>
      <name val="Arial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0"/>
      <name val="Verdana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i/>
      <strike/>
      <sz val="10"/>
      <name val="Century Gothic"/>
      <family val="2"/>
    </font>
    <font>
      <strike/>
      <sz val="10"/>
      <name val="Century Gothic"/>
      <family val="2"/>
    </font>
    <font>
      <sz val="11"/>
      <color rgb="FF3F3F76"/>
      <name val="Calibri"/>
      <family val="2"/>
      <scheme val="minor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rgb="FF3F3F76"/>
      <name val="Tahoma"/>
      <family val="2"/>
    </font>
    <font>
      <sz val="10"/>
      <color rgb="FFFF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rgb="FFFFFF00"/>
        <bgColor indexed="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" fontId="4" fillId="2" borderId="0"/>
    <xf numFmtId="3" fontId="4" fillId="2" borderId="0"/>
    <xf numFmtId="7" fontId="4" fillId="2" borderId="0"/>
    <xf numFmtId="7" fontId="4" fillId="2" borderId="0"/>
    <xf numFmtId="7" fontId="4" fillId="2" borderId="0"/>
    <xf numFmtId="7" fontId="4" fillId="2" borderId="0"/>
    <xf numFmtId="7" fontId="4" fillId="2" borderId="0"/>
    <xf numFmtId="5" fontId="4" fillId="2" borderId="0"/>
    <xf numFmtId="5" fontId="4" fillId="2" borderId="0"/>
    <xf numFmtId="0" fontId="4" fillId="2" borderId="0"/>
    <xf numFmtId="0" fontId="4" fillId="2" borderId="0"/>
    <xf numFmtId="2" fontId="4" fillId="2" borderId="0"/>
    <xf numFmtId="2" fontId="4" fillId="2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0" fontId="14" fillId="3" borderId="1" applyNumberFormat="0" applyAlignment="0" applyProtection="0"/>
  </cellStyleXfs>
  <cellXfs count="10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5" fontId="9" fillId="2" borderId="0" xfId="6" applyNumberFormat="1" applyFont="1" applyProtection="1">
      <protection locked="0"/>
    </xf>
    <xf numFmtId="0" fontId="8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5" fontId="6" fillId="0" borderId="0" xfId="6" applyNumberFormat="1" applyFont="1" applyFill="1" applyProtection="1">
      <protection locked="0"/>
    </xf>
    <xf numFmtId="164" fontId="5" fillId="2" borderId="0" xfId="16" applyNumberFormat="1" applyFont="1" applyFill="1" applyProtection="1">
      <protection locked="0"/>
    </xf>
    <xf numFmtId="164" fontId="5" fillId="2" borderId="0" xfId="16" applyNumberFormat="1" applyFont="1" applyFill="1" applyAlignment="1" applyProtection="1">
      <alignment horizontal="right"/>
      <protection locked="0"/>
    </xf>
    <xf numFmtId="164" fontId="6" fillId="2" borderId="0" xfId="16" applyNumberFormat="1" applyFont="1" applyFill="1" applyProtection="1">
      <protection locked="0"/>
    </xf>
    <xf numFmtId="164" fontId="4" fillId="2" borderId="0" xfId="16" applyNumberFormat="1" applyFont="1" applyFill="1" applyProtection="1">
      <protection locked="0"/>
    </xf>
    <xf numFmtId="0" fontId="15" fillId="4" borderId="2" xfId="14" applyFont="1" applyFill="1" applyBorder="1" applyAlignment="1" applyProtection="1">
      <alignment horizontal="center" wrapText="1"/>
    </xf>
    <xf numFmtId="165" fontId="15" fillId="4" borderId="2" xfId="14" applyNumberFormat="1" applyFont="1" applyFill="1" applyBorder="1" applyAlignment="1" applyProtection="1">
      <alignment horizontal="center" wrapText="1"/>
    </xf>
    <xf numFmtId="1" fontId="17" fillId="4" borderId="2" xfId="17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17" applyFont="1" applyFill="1" applyBorder="1" applyAlignment="1" applyProtection="1">
      <alignment horizontal="left" vertical="center" wrapText="1"/>
      <protection locked="0"/>
    </xf>
    <xf numFmtId="0" fontId="17" fillId="4" borderId="2" xfId="17" applyFont="1" applyFill="1" applyBorder="1" applyAlignment="1" applyProtection="1">
      <alignment horizontal="center" vertical="center" wrapText="1"/>
      <protection locked="0"/>
    </xf>
    <xf numFmtId="3" fontId="17" fillId="4" borderId="2" xfId="17" applyNumberFormat="1" applyFont="1" applyFill="1" applyBorder="1" applyAlignment="1" applyProtection="1">
      <alignment horizontal="right" vertical="center" wrapText="1"/>
      <protection locked="0"/>
    </xf>
    <xf numFmtId="1" fontId="16" fillId="4" borderId="2" xfId="14" applyNumberFormat="1" applyFont="1" applyFill="1" applyBorder="1" applyAlignment="1" applyProtection="1">
      <alignment horizontal="center" vertical="center" wrapText="1"/>
      <protection locked="0"/>
    </xf>
    <xf numFmtId="0" fontId="16" fillId="4" borderId="2" xfId="14" applyFont="1" applyFill="1" applyBorder="1" applyAlignment="1" applyProtection="1">
      <alignment horizontal="left" vertical="center" wrapText="1"/>
      <protection locked="0"/>
    </xf>
    <xf numFmtId="0" fontId="16" fillId="4" borderId="2" xfId="14" applyFont="1" applyFill="1" applyBorder="1" applyAlignment="1" applyProtection="1">
      <alignment horizontal="center" vertical="center" wrapText="1"/>
      <protection locked="0"/>
    </xf>
    <xf numFmtId="3" fontId="16" fillId="4" borderId="2" xfId="14" applyNumberFormat="1" applyFont="1" applyFill="1" applyBorder="1" applyAlignment="1" applyProtection="1">
      <alignment horizontal="right" vertical="center" wrapText="1"/>
      <protection locked="0"/>
    </xf>
    <xf numFmtId="38" fontId="0" fillId="2" borderId="0" xfId="0" applyNumberFormat="1" applyFill="1" applyProtection="1">
      <protection locked="0"/>
    </xf>
    <xf numFmtId="5" fontId="5" fillId="5" borderId="0" xfId="6" quotePrefix="1" applyNumberFormat="1" applyFont="1" applyFill="1" applyProtection="1"/>
    <xf numFmtId="41" fontId="5" fillId="5" borderId="0" xfId="7" applyNumberFormat="1" applyFont="1" applyFill="1" applyProtection="1"/>
    <xf numFmtId="6" fontId="5" fillId="5" borderId="0" xfId="6" applyNumberFormat="1" applyFont="1" applyFill="1" applyAlignment="1" applyProtection="1">
      <alignment horizontal="right"/>
    </xf>
    <xf numFmtId="6" fontId="5" fillId="5" borderId="0" xfId="7" applyNumberFormat="1" applyFont="1" applyFill="1" applyAlignment="1" applyProtection="1">
      <alignment horizontal="right"/>
    </xf>
    <xf numFmtId="0" fontId="5" fillId="5" borderId="0" xfId="0" applyFont="1" applyFill="1" applyProtection="1"/>
    <xf numFmtId="38" fontId="5" fillId="5" borderId="0" xfId="6" applyNumberFormat="1" applyFont="1" applyFill="1" applyProtection="1"/>
    <xf numFmtId="38" fontId="5" fillId="5" borderId="0" xfId="7" applyNumberFormat="1" applyFont="1" applyFill="1" applyProtection="1"/>
    <xf numFmtId="0" fontId="6" fillId="5" borderId="0" xfId="0" applyFont="1" applyFill="1" applyProtection="1"/>
    <xf numFmtId="0" fontId="0" fillId="5" borderId="0" xfId="0" applyFill="1" applyProtection="1"/>
    <xf numFmtId="6" fontId="11" fillId="6" borderId="0" xfId="0" applyNumberFormat="1" applyFont="1" applyFill="1" applyAlignment="1" applyProtection="1">
      <alignment horizontal="right"/>
    </xf>
    <xf numFmtId="38" fontId="11" fillId="6" borderId="0" xfId="0" applyNumberFormat="1" applyFont="1" applyFill="1" applyProtection="1"/>
    <xf numFmtId="0" fontId="6" fillId="7" borderId="0" xfId="0" applyFont="1" applyFill="1" applyProtection="1">
      <protection locked="0"/>
    </xf>
    <xf numFmtId="6" fontId="6" fillId="7" borderId="0" xfId="6" applyNumberFormat="1" applyFont="1" applyFill="1" applyAlignment="1" applyProtection="1">
      <alignment horizontal="right"/>
      <protection locked="0"/>
    </xf>
    <xf numFmtId="5" fontId="6" fillId="7" borderId="0" xfId="6" applyNumberFormat="1" applyFont="1" applyFill="1" applyProtection="1">
      <protection locked="0"/>
    </xf>
    <xf numFmtId="0" fontId="7" fillId="7" borderId="0" xfId="0" applyFont="1" applyFill="1" applyProtection="1">
      <protection locked="0"/>
    </xf>
    <xf numFmtId="38" fontId="6" fillId="7" borderId="0" xfId="6" applyNumberFormat="1" applyFont="1" applyFill="1" applyProtection="1">
      <protection locked="0"/>
    </xf>
    <xf numFmtId="0" fontId="0" fillId="7" borderId="0" xfId="0" applyFill="1" applyProtection="1">
      <protection locked="0"/>
    </xf>
    <xf numFmtId="0" fontId="6" fillId="8" borderId="0" xfId="0" applyFont="1" applyFill="1" applyProtection="1">
      <protection locked="0"/>
    </xf>
    <xf numFmtId="5" fontId="6" fillId="8" borderId="0" xfId="6" applyNumberFormat="1" applyFont="1" applyFill="1" applyProtection="1">
      <protection locked="0"/>
    </xf>
    <xf numFmtId="7" fontId="6" fillId="7" borderId="0" xfId="6" applyFont="1" applyFill="1" applyProtection="1">
      <protection locked="0"/>
    </xf>
    <xf numFmtId="6" fontId="6" fillId="8" borderId="0" xfId="6" applyNumberFormat="1" applyFont="1" applyFill="1" applyAlignment="1" applyProtection="1">
      <alignment horizontal="right"/>
      <protection locked="0"/>
    </xf>
    <xf numFmtId="5" fontId="5" fillId="6" borderId="0" xfId="6" quotePrefix="1" applyNumberFormat="1" applyFont="1" applyFill="1" applyProtection="1"/>
    <xf numFmtId="41" fontId="5" fillId="6" borderId="0" xfId="7" applyNumberFormat="1" applyFont="1" applyFill="1" applyProtection="1"/>
    <xf numFmtId="0" fontId="5" fillId="6" borderId="0" xfId="0" applyFont="1" applyFill="1" applyProtection="1"/>
    <xf numFmtId="0" fontId="7" fillId="8" borderId="0" xfId="0" applyFont="1" applyFill="1" applyProtection="1">
      <protection locked="0"/>
    </xf>
    <xf numFmtId="38" fontId="6" fillId="8" borderId="0" xfId="6" applyNumberFormat="1" applyFont="1" applyFill="1" applyProtection="1">
      <protection locked="0"/>
    </xf>
    <xf numFmtId="6" fontId="5" fillId="6" borderId="0" xfId="6" applyNumberFormat="1" applyFont="1" applyFill="1" applyAlignment="1" applyProtection="1">
      <alignment horizontal="right"/>
    </xf>
    <xf numFmtId="0" fontId="6" fillId="6" borderId="0" xfId="0" applyFont="1" applyFill="1" applyProtection="1"/>
    <xf numFmtId="6" fontId="5" fillId="6" borderId="0" xfId="7" applyNumberFormat="1" applyFont="1" applyFill="1" applyAlignment="1" applyProtection="1">
      <alignment horizontal="right"/>
    </xf>
    <xf numFmtId="0" fontId="12" fillId="8" borderId="0" xfId="0" applyFont="1" applyFill="1" applyProtection="1">
      <protection locked="0"/>
    </xf>
    <xf numFmtId="0" fontId="13" fillId="8" borderId="0" xfId="0" applyFont="1" applyFill="1" applyProtection="1">
      <protection locked="0"/>
    </xf>
    <xf numFmtId="38" fontId="13" fillId="8" borderId="0" xfId="6" applyNumberFormat="1" applyFont="1" applyFill="1" applyProtection="1">
      <protection locked="0"/>
    </xf>
    <xf numFmtId="5" fontId="13" fillId="8" borderId="0" xfId="6" applyNumberFormat="1" applyFont="1" applyFill="1" applyProtection="1">
      <protection locked="0"/>
    </xf>
    <xf numFmtId="5" fontId="5" fillId="6" borderId="0" xfId="5" quotePrefix="1" applyNumberFormat="1" applyFont="1" applyFill="1" applyProtection="1"/>
    <xf numFmtId="5" fontId="5" fillId="8" borderId="0" xfId="5" quotePrefix="1" applyNumberFormat="1" applyFont="1" applyFill="1" applyProtection="1">
      <protection locked="0"/>
    </xf>
    <xf numFmtId="0" fontId="5" fillId="8" borderId="0" xfId="0" applyFont="1" applyFill="1" applyProtection="1">
      <protection locked="0"/>
    </xf>
    <xf numFmtId="5" fontId="6" fillId="8" borderId="0" xfId="5" quotePrefix="1" applyNumberFormat="1" applyFont="1" applyFill="1" applyProtection="1">
      <protection locked="0"/>
    </xf>
    <xf numFmtId="41" fontId="5" fillId="8" borderId="0" xfId="7" applyNumberFormat="1" applyFont="1" applyFill="1" applyProtection="1">
      <protection locked="0"/>
    </xf>
    <xf numFmtId="41" fontId="6" fillId="8" borderId="0" xfId="7" applyNumberFormat="1" applyFont="1" applyFill="1" applyProtection="1">
      <protection locked="0"/>
    </xf>
    <xf numFmtId="0" fontId="5" fillId="8" borderId="0" xfId="0" quotePrefix="1" applyFont="1" applyFill="1" applyProtection="1">
      <protection locked="0"/>
    </xf>
    <xf numFmtId="0" fontId="6" fillId="8" borderId="0" xfId="0" quotePrefix="1" applyFont="1" applyFill="1" applyProtection="1">
      <protection locked="0"/>
    </xf>
    <xf numFmtId="6" fontId="5" fillId="5" borderId="0" xfId="6" applyNumberFormat="1" applyFont="1" applyFill="1" applyProtection="1"/>
    <xf numFmtId="6" fontId="6" fillId="7" borderId="0" xfId="6" applyNumberFormat="1" applyFont="1" applyFill="1" applyProtection="1"/>
    <xf numFmtId="6" fontId="6" fillId="8" borderId="0" xfId="6" applyNumberFormat="1" applyFont="1" applyFill="1" applyProtection="1"/>
    <xf numFmtId="6" fontId="0" fillId="2" borderId="0" xfId="0" applyNumberFormat="1" applyFill="1" applyProtection="1">
      <protection locked="0"/>
    </xf>
    <xf numFmtId="5" fontId="5" fillId="9" borderId="0" xfId="6" quotePrefix="1" applyNumberFormat="1" applyFont="1" applyFill="1" applyProtection="1"/>
    <xf numFmtId="6" fontId="5" fillId="9" borderId="0" xfId="6" applyNumberFormat="1" applyFont="1" applyFill="1" applyProtection="1"/>
    <xf numFmtId="41" fontId="5" fillId="9" borderId="0" xfId="7" applyNumberFormat="1" applyFont="1" applyFill="1" applyProtection="1"/>
    <xf numFmtId="6" fontId="5" fillId="9" borderId="0" xfId="6" applyNumberFormat="1" applyFont="1" applyFill="1" applyAlignment="1" applyProtection="1">
      <alignment horizontal="right"/>
    </xf>
    <xf numFmtId="6" fontId="5" fillId="9" borderId="0" xfId="7" applyNumberFormat="1" applyFont="1" applyFill="1" applyAlignment="1" applyProtection="1">
      <alignment horizontal="right"/>
    </xf>
    <xf numFmtId="0" fontId="5" fillId="9" borderId="0" xfId="0" applyFont="1" applyFill="1" applyProtection="1"/>
    <xf numFmtId="38" fontId="5" fillId="9" borderId="0" xfId="6" applyNumberFormat="1" applyFont="1" applyFill="1" applyProtection="1"/>
    <xf numFmtId="0" fontId="6" fillId="9" borderId="0" xfId="0" applyFont="1" applyFill="1" applyProtection="1"/>
    <xf numFmtId="0" fontId="0" fillId="9" borderId="0" xfId="0" applyFill="1" applyProtection="1"/>
    <xf numFmtId="5" fontId="5" fillId="10" borderId="0" xfId="6" quotePrefix="1" applyNumberFormat="1" applyFont="1" applyFill="1" applyProtection="1"/>
    <xf numFmtId="41" fontId="5" fillId="10" borderId="0" xfId="7" applyNumberFormat="1" applyFont="1" applyFill="1" applyProtection="1"/>
    <xf numFmtId="0" fontId="5" fillId="10" borderId="0" xfId="0" applyFont="1" applyFill="1" applyProtection="1"/>
    <xf numFmtId="6" fontId="5" fillId="10" borderId="0" xfId="6" applyNumberFormat="1" applyFont="1" applyFill="1" applyAlignment="1" applyProtection="1">
      <alignment horizontal="right"/>
    </xf>
    <xf numFmtId="0" fontId="6" fillId="10" borderId="0" xfId="0" applyFont="1" applyFill="1" applyProtection="1"/>
    <xf numFmtId="0" fontId="5" fillId="10" borderId="0" xfId="0" quotePrefix="1" applyFont="1" applyFill="1" applyProtection="1"/>
    <xf numFmtId="5" fontId="5" fillId="9" borderId="0" xfId="5" quotePrefix="1" applyNumberFormat="1" applyFont="1" applyFill="1" applyProtection="1"/>
    <xf numFmtId="6" fontId="5" fillId="9" borderId="0" xfId="0" applyNumberFormat="1" applyFont="1" applyFill="1" applyAlignment="1" applyProtection="1">
      <alignment horizontal="right"/>
    </xf>
    <xf numFmtId="0" fontId="8" fillId="9" borderId="0" xfId="0" applyFont="1" applyFill="1" applyProtection="1"/>
    <xf numFmtId="5" fontId="6" fillId="11" borderId="0" xfId="6" applyNumberFormat="1" applyFont="1" applyFill="1" applyProtection="1">
      <protection locked="0"/>
    </xf>
    <xf numFmtId="6" fontId="6" fillId="5" borderId="0" xfId="6" applyNumberFormat="1" applyFont="1" applyFill="1" applyProtection="1"/>
    <xf numFmtId="38" fontId="0" fillId="5" borderId="0" xfId="0" applyNumberFormat="1" applyFill="1" applyProtection="1"/>
    <xf numFmtId="6" fontId="6" fillId="9" borderId="0" xfId="6" applyNumberFormat="1" applyFont="1" applyFill="1" applyProtection="1"/>
    <xf numFmtId="6" fontId="6" fillId="8" borderId="0" xfId="0" applyNumberFormat="1" applyFont="1" applyFill="1" applyProtection="1">
      <protection locked="0"/>
    </xf>
    <xf numFmtId="0" fontId="18" fillId="8" borderId="0" xfId="0" applyFont="1" applyFill="1" applyProtection="1">
      <protection locked="0"/>
    </xf>
    <xf numFmtId="6" fontId="6" fillId="8" borderId="0" xfId="6" applyNumberFormat="1" applyFont="1" applyFill="1" applyAlignment="1" applyProtection="1">
      <protection locked="0"/>
    </xf>
    <xf numFmtId="41" fontId="5" fillId="10" borderId="0" xfId="7" quotePrefix="1" applyNumberFormat="1" applyFont="1" applyFill="1" applyProtection="1"/>
    <xf numFmtId="6" fontId="5" fillId="5" borderId="0" xfId="7" applyNumberFormat="1" applyFont="1" applyFill="1" applyProtection="1"/>
    <xf numFmtId="6" fontId="13" fillId="8" borderId="0" xfId="6" applyNumberFormat="1" applyFont="1" applyFill="1" applyAlignment="1" applyProtection="1">
      <alignment horizontal="right"/>
      <protection locked="0"/>
    </xf>
    <xf numFmtId="6" fontId="13" fillId="7" borderId="0" xfId="6" applyNumberFormat="1" applyFont="1" applyFill="1" applyAlignment="1" applyProtection="1">
      <alignment horizontal="right"/>
      <protection locked="0"/>
    </xf>
    <xf numFmtId="5" fontId="13" fillId="7" borderId="0" xfId="6" applyNumberFormat="1" applyFont="1" applyFill="1" applyProtection="1">
      <protection locked="0"/>
    </xf>
    <xf numFmtId="14" fontId="6" fillId="7" borderId="0" xfId="6" applyNumberFormat="1" applyFont="1" applyFill="1" applyAlignment="1" applyProtection="1">
      <alignment horizontal="left"/>
      <protection locked="0"/>
    </xf>
    <xf numFmtId="6" fontId="0" fillId="9" borderId="0" xfId="0" applyNumberFormat="1" applyFill="1" applyProtection="1"/>
    <xf numFmtId="8" fontId="0" fillId="9" borderId="0" xfId="0" applyNumberFormat="1" applyFill="1" applyProtection="1"/>
    <xf numFmtId="0" fontId="4" fillId="7" borderId="0" xfId="0" applyFont="1" applyFill="1" applyProtection="1">
      <protection locked="0"/>
    </xf>
    <xf numFmtId="0" fontId="6" fillId="12" borderId="0" xfId="0" applyFont="1" applyFill="1" applyProtection="1">
      <protection locked="0"/>
    </xf>
    <xf numFmtId="6" fontId="6" fillId="0" borderId="0" xfId="6" applyNumberFormat="1" applyFont="1" applyFill="1" applyAlignment="1" applyProtection="1">
      <alignment horizontal="right"/>
      <protection locked="0"/>
    </xf>
    <xf numFmtId="6" fontId="6" fillId="0" borderId="0" xfId="6" applyNumberFormat="1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18">
    <cellStyle name="Comma0" xfId="1"/>
    <cellStyle name="Comma0 2" xfId="2"/>
    <cellStyle name="Currency 2" xfId="3"/>
    <cellStyle name="Currency 2 2" xfId="4"/>
    <cellStyle name="Currency_stwd2011#1 110510" xfId="5"/>
    <cellStyle name="Currency_stwd2011#10A 061011 Apvd" xfId="6"/>
    <cellStyle name="Currency_stwd2011#7A 020811 Apvd" xfId="7"/>
    <cellStyle name="Currency0" xfId="8"/>
    <cellStyle name="Currency0 2" xfId="9"/>
    <cellStyle name="Date" xfId="10"/>
    <cellStyle name="Date 2" xfId="11"/>
    <cellStyle name="Fixed" xfId="12"/>
    <cellStyle name="Fixed 2" xfId="13"/>
    <cellStyle name="Input" xfId="17" builtinId="20"/>
    <cellStyle name="Normal" xfId="0" builtinId="0"/>
    <cellStyle name="Normal 2" xfId="14"/>
    <cellStyle name="Normal 2 2" xfId="15"/>
    <cellStyle name="Percent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112"/>
  <sheetViews>
    <sheetView showGridLines="0" tabSelected="1" zoomScale="81" zoomScaleNormal="81" workbookViewId="0">
      <pane xSplit="4" ySplit="4" topLeftCell="E52" activePane="bottomRight" state="frozen"/>
      <selection pane="topRight" activeCell="E1" sqref="E1"/>
      <selection pane="bottomLeft" activeCell="A5" sqref="A5"/>
      <selection pane="bottomRight" activeCell="U84" sqref="U84"/>
    </sheetView>
  </sheetViews>
  <sheetFormatPr defaultColWidth="9.140625" defaultRowHeight="12.75"/>
  <cols>
    <col min="1" max="1" width="20.85546875" style="4" customWidth="1"/>
    <col min="2" max="3" width="11.7109375" style="4" customWidth="1"/>
    <col min="4" max="4" width="11.42578125" style="4" customWidth="1"/>
    <col min="5" max="5" width="35.140625" style="4" customWidth="1"/>
    <col min="6" max="6" width="17.28515625" style="4" customWidth="1"/>
    <col min="7" max="8" width="11.28515625" style="4" customWidth="1"/>
    <col min="9" max="9" width="10.7109375" style="4" customWidth="1"/>
    <col min="10" max="10" width="9.7109375" style="4" customWidth="1"/>
    <col min="11" max="11" width="11.5703125" style="4" customWidth="1"/>
    <col min="12" max="12" width="1.42578125" style="4" customWidth="1"/>
    <col min="13" max="13" width="27.85546875" style="4" customWidth="1"/>
    <col min="14" max="14" width="30.140625" style="4" bestFit="1" customWidth="1"/>
    <col min="15" max="15" width="11.42578125" style="4" customWidth="1"/>
    <col min="16" max="16" width="9.5703125" style="4" customWidth="1"/>
    <col min="17" max="17" width="10.85546875" style="4" customWidth="1"/>
    <col min="18" max="18" width="9.7109375" style="4" customWidth="1"/>
    <col min="19" max="19" width="10.7109375" style="4" bestFit="1" customWidth="1"/>
    <col min="20" max="20" width="1.42578125" style="4" customWidth="1"/>
    <col min="21" max="21" width="33.140625" style="4" customWidth="1"/>
    <col min="22" max="22" width="17" style="4" customWidth="1"/>
    <col min="23" max="23" width="10.85546875" style="4" customWidth="1"/>
    <col min="24" max="24" width="9.7109375" style="4" customWidth="1"/>
    <col min="25" max="25" width="10.7109375" style="4" customWidth="1"/>
    <col min="26" max="26" width="9.5703125" style="4" customWidth="1"/>
    <col min="27" max="27" width="11.28515625" style="4" customWidth="1"/>
    <col min="28" max="28" width="1" style="4" customWidth="1"/>
    <col min="29" max="29" width="24.7109375" style="4" customWidth="1"/>
    <col min="30" max="30" width="50.7109375" style="4" customWidth="1"/>
    <col min="31" max="31" width="12" style="4" customWidth="1"/>
    <col min="32" max="32" width="5" style="4" customWidth="1"/>
    <col min="33" max="33" width="10" style="4" customWidth="1"/>
    <col min="34" max="34" width="9.7109375" style="4" customWidth="1"/>
    <col min="35" max="35" width="10.85546875" style="4" customWidth="1"/>
    <col min="36" max="36" width="2.85546875" style="4" customWidth="1"/>
    <col min="37" max="37" width="19.85546875" style="4" customWidth="1"/>
    <col min="38" max="38" width="13" style="4" customWidth="1"/>
    <col min="39" max="39" width="12.85546875" style="4" customWidth="1"/>
    <col min="40" max="40" width="13.7109375" style="4" customWidth="1"/>
    <col min="41" max="41" width="11.42578125" style="4" bestFit="1" customWidth="1"/>
    <col min="42" max="16384" width="9.140625" style="4"/>
  </cols>
  <sheetData>
    <row r="1" spans="1:39" ht="18.75">
      <c r="A1" s="2"/>
      <c r="B1" s="2"/>
      <c r="C1" s="2"/>
      <c r="D1" s="2"/>
      <c r="E1" s="1"/>
      <c r="F1" s="1" t="s">
        <v>0</v>
      </c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2"/>
      <c r="Z1" s="2"/>
      <c r="AA1" s="2"/>
      <c r="AB1" s="3"/>
      <c r="AC1" s="2"/>
      <c r="AD1" s="2"/>
      <c r="AE1" s="2"/>
      <c r="AF1" s="2" t="s">
        <v>1</v>
      </c>
      <c r="AG1" s="2"/>
      <c r="AH1" s="2"/>
      <c r="AI1" s="2"/>
    </row>
    <row r="2" spans="1:39" ht="18.75">
      <c r="A2" s="1"/>
      <c r="B2" s="1" t="s">
        <v>2</v>
      </c>
      <c r="C2" s="1"/>
      <c r="D2" s="1"/>
      <c r="E2" s="1"/>
      <c r="F2" s="1" t="s">
        <v>116</v>
      </c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 t="s">
        <v>1</v>
      </c>
      <c r="Y2" s="2"/>
      <c r="Z2" s="2"/>
      <c r="AA2" s="2"/>
      <c r="AB2" s="3"/>
      <c r="AC2" s="2"/>
      <c r="AD2" s="2"/>
      <c r="AE2" s="2"/>
      <c r="AF2" s="2"/>
      <c r="AG2" s="2"/>
      <c r="AH2" s="2"/>
      <c r="AI2" s="2"/>
      <c r="AK2" s="107" t="s">
        <v>143</v>
      </c>
      <c r="AL2" s="107"/>
      <c r="AM2" s="107"/>
    </row>
    <row r="3" spans="1:39" ht="17.25">
      <c r="A3" s="2"/>
      <c r="B3" s="5" t="s">
        <v>13</v>
      </c>
      <c r="C3" s="5" t="s">
        <v>6</v>
      </c>
      <c r="D3" s="5" t="s">
        <v>7</v>
      </c>
      <c r="E3" s="2" t="s">
        <v>3</v>
      </c>
      <c r="F3" s="2" t="s">
        <v>4</v>
      </c>
      <c r="G3" s="5" t="s">
        <v>5</v>
      </c>
      <c r="H3" s="5"/>
      <c r="I3" s="5" t="s">
        <v>7</v>
      </c>
      <c r="J3" s="5" t="s">
        <v>8</v>
      </c>
      <c r="K3" s="5" t="s">
        <v>9</v>
      </c>
      <c r="L3" s="2"/>
      <c r="M3" s="2" t="s">
        <v>10</v>
      </c>
      <c r="N3" s="2" t="s">
        <v>4</v>
      </c>
      <c r="O3" s="5" t="s">
        <v>5</v>
      </c>
      <c r="P3" s="5"/>
      <c r="Q3" s="5" t="s">
        <v>7</v>
      </c>
      <c r="R3" s="5" t="s">
        <v>8</v>
      </c>
      <c r="S3" s="5" t="s">
        <v>9</v>
      </c>
      <c r="T3" s="2"/>
      <c r="U3" s="2" t="s">
        <v>11</v>
      </c>
      <c r="V3" s="2" t="s">
        <v>4</v>
      </c>
      <c r="W3" s="5" t="s">
        <v>5</v>
      </c>
      <c r="X3" s="5"/>
      <c r="Y3" s="5" t="s">
        <v>7</v>
      </c>
      <c r="Z3" s="5" t="s">
        <v>8</v>
      </c>
      <c r="AA3" s="5" t="s">
        <v>9</v>
      </c>
      <c r="AB3" s="3"/>
      <c r="AC3" s="2" t="s">
        <v>12</v>
      </c>
      <c r="AD3" s="2" t="s">
        <v>4</v>
      </c>
      <c r="AE3" s="5" t="s">
        <v>5</v>
      </c>
      <c r="AF3" s="5"/>
      <c r="AG3" s="5" t="s">
        <v>7</v>
      </c>
      <c r="AH3" s="5" t="s">
        <v>8</v>
      </c>
      <c r="AI3" s="5" t="s">
        <v>9</v>
      </c>
      <c r="AK3" s="2"/>
      <c r="AL3" s="5" t="s">
        <v>13</v>
      </c>
      <c r="AM3" s="5" t="s">
        <v>7</v>
      </c>
    </row>
    <row r="4" spans="1:39" s="13" customFormat="1" ht="13.5">
      <c r="A4" s="10"/>
      <c r="B4" s="11"/>
      <c r="C4" s="11"/>
      <c r="D4" s="11"/>
      <c r="E4" s="10"/>
      <c r="F4" s="10"/>
      <c r="G4" s="11">
        <v>0.26364599999999999</v>
      </c>
      <c r="H4" s="11"/>
      <c r="I4" s="11">
        <v>0.24399999999999999</v>
      </c>
      <c r="J4" s="11"/>
      <c r="K4" s="11"/>
      <c r="L4" s="10"/>
      <c r="M4" s="10"/>
      <c r="N4" s="10"/>
      <c r="O4" s="11">
        <v>0.21987300000000001</v>
      </c>
      <c r="P4" s="11"/>
      <c r="Q4" s="11">
        <v>0.214</v>
      </c>
      <c r="R4" s="11"/>
      <c r="S4" s="11"/>
      <c r="T4" s="10"/>
      <c r="U4" s="10"/>
      <c r="V4" s="10"/>
      <c r="W4" s="11">
        <v>0.26357199999999997</v>
      </c>
      <c r="X4" s="11"/>
      <c r="Y4" s="11">
        <v>0.27300000000000002</v>
      </c>
      <c r="Z4" s="11"/>
      <c r="AA4" s="11"/>
      <c r="AB4" s="12"/>
      <c r="AC4" s="10"/>
      <c r="AD4" s="10"/>
      <c r="AE4" s="11">
        <v>0.25291000000000002</v>
      </c>
      <c r="AF4" s="11"/>
      <c r="AG4" s="11">
        <v>0.26800000000000002</v>
      </c>
      <c r="AH4" s="11"/>
      <c r="AI4" s="11"/>
      <c r="AK4" s="10"/>
      <c r="AL4" s="11"/>
      <c r="AM4" s="11"/>
    </row>
    <row r="5" spans="1:39" s="78" customFormat="1" ht="13.5">
      <c r="A5" s="70" t="s">
        <v>107</v>
      </c>
      <c r="B5" s="71">
        <v>-82763.689999999944</v>
      </c>
      <c r="C5" s="71">
        <v>208364</v>
      </c>
      <c r="D5" s="71">
        <v>-68631.929999999935</v>
      </c>
      <c r="E5" s="70" t="s">
        <v>107</v>
      </c>
      <c r="F5" s="72">
        <v>0</v>
      </c>
      <c r="G5" s="73">
        <v>-4756.9199999999255</v>
      </c>
      <c r="H5" s="73"/>
      <c r="I5" s="73">
        <v>212299.13</v>
      </c>
      <c r="J5" s="72"/>
      <c r="K5" s="72"/>
      <c r="L5" s="75"/>
      <c r="M5" s="70" t="s">
        <v>107</v>
      </c>
      <c r="N5" s="72">
        <v>0</v>
      </c>
      <c r="O5" s="76">
        <v>45774.830000000016</v>
      </c>
      <c r="P5" s="76"/>
      <c r="Q5" s="76">
        <v>-23466.239999999991</v>
      </c>
      <c r="R5" s="72">
        <v>0</v>
      </c>
      <c r="S5" s="72">
        <v>0</v>
      </c>
      <c r="T5" s="75"/>
      <c r="U5" s="70" t="s">
        <v>107</v>
      </c>
      <c r="V5" s="72">
        <v>0</v>
      </c>
      <c r="W5" s="76">
        <v>-455307.05000000005</v>
      </c>
      <c r="X5" s="76"/>
      <c r="Y5" s="76">
        <v>-87592.609999999986</v>
      </c>
      <c r="Z5" s="72">
        <v>0</v>
      </c>
      <c r="AA5" s="72">
        <v>0</v>
      </c>
      <c r="AB5" s="77"/>
      <c r="AC5" s="70" t="s">
        <v>107</v>
      </c>
      <c r="AD5" s="72">
        <v>0</v>
      </c>
      <c r="AE5" s="76">
        <v>331525.44999999995</v>
      </c>
      <c r="AF5" s="76"/>
      <c r="AG5" s="76">
        <v>-169872.21</v>
      </c>
      <c r="AH5" s="72">
        <v>0</v>
      </c>
      <c r="AI5" s="72">
        <v>0</v>
      </c>
      <c r="AK5" s="70" t="s">
        <v>107</v>
      </c>
      <c r="AL5" s="71">
        <v>-82763.689999999944</v>
      </c>
      <c r="AM5" s="71">
        <v>-68631.929999999935</v>
      </c>
    </row>
    <row r="6" spans="1:39" s="33" customFormat="1" ht="13.5">
      <c r="A6" s="25" t="s">
        <v>108</v>
      </c>
      <c r="B6" s="66">
        <f>SUM(G6+O6+W6+AE6)</f>
        <v>0</v>
      </c>
      <c r="C6" s="66">
        <f>SUM(H6+P6+X6+AF6)</f>
        <v>0</v>
      </c>
      <c r="D6" s="66">
        <f>SUM(I6+Q6+Y6+AG6)</f>
        <v>-27084</v>
      </c>
      <c r="E6" s="25" t="s">
        <v>108</v>
      </c>
      <c r="F6" s="26"/>
      <c r="G6" s="27">
        <v>0</v>
      </c>
      <c r="H6" s="27"/>
      <c r="I6" s="27">
        <v>229156</v>
      </c>
      <c r="J6" s="26"/>
      <c r="K6" s="26"/>
      <c r="L6" s="29"/>
      <c r="M6" s="25" t="s">
        <v>108</v>
      </c>
      <c r="N6" s="26"/>
      <c r="O6" s="30">
        <v>0</v>
      </c>
      <c r="P6" s="30"/>
      <c r="Q6" s="30">
        <v>-14129</v>
      </c>
      <c r="R6" s="26"/>
      <c r="S6" s="26"/>
      <c r="T6" s="29"/>
      <c r="U6" s="25" t="s">
        <v>108</v>
      </c>
      <c r="V6" s="26"/>
      <c r="W6" s="30">
        <v>0</v>
      </c>
      <c r="X6" s="30"/>
      <c r="Y6" s="30">
        <v>-85958</v>
      </c>
      <c r="Z6" s="26"/>
      <c r="AA6" s="26"/>
      <c r="AB6" s="32"/>
      <c r="AC6" s="25" t="s">
        <v>108</v>
      </c>
      <c r="AD6" s="26"/>
      <c r="AE6" s="30">
        <v>0</v>
      </c>
      <c r="AF6" s="30"/>
      <c r="AG6" s="30">
        <v>-156153</v>
      </c>
      <c r="AH6" s="26"/>
      <c r="AI6" s="26"/>
      <c r="AK6" s="25" t="s">
        <v>108</v>
      </c>
      <c r="AL6" s="66" t="e">
        <f>SUM(#REF!+#REF!+#REF!+#REF!)</f>
        <v>#REF!</v>
      </c>
      <c r="AM6" s="66" t="e">
        <f>SUM(#REF!+#REF!+#REF!+#REF!)</f>
        <v>#REF!</v>
      </c>
    </row>
    <row r="7" spans="1:39" s="33" customFormat="1" ht="13.5">
      <c r="A7" s="25" t="s">
        <v>17</v>
      </c>
      <c r="B7" s="66">
        <v>1718187</v>
      </c>
      <c r="C7" s="66">
        <f>SUM(H7+P7+X7+AF7)</f>
        <v>0</v>
      </c>
      <c r="D7" s="66">
        <f>SUM(I7+Q7+Y7+AG7)</f>
        <v>320296</v>
      </c>
      <c r="E7" s="25" t="s">
        <v>17</v>
      </c>
      <c r="F7" s="26">
        <v>0</v>
      </c>
      <c r="G7" s="34">
        <f>$B7*G$4</f>
        <v>452993.12980200001</v>
      </c>
      <c r="H7" s="28"/>
      <c r="I7" s="34">
        <v>78314</v>
      </c>
      <c r="J7" s="26"/>
      <c r="K7" s="26"/>
      <c r="L7" s="29"/>
      <c r="M7" s="25" t="s">
        <v>17</v>
      </c>
      <c r="N7" s="26">
        <v>0</v>
      </c>
      <c r="O7" s="35">
        <f>$B7*O$4</f>
        <v>377782.93025100004</v>
      </c>
      <c r="P7" s="31"/>
      <c r="Q7" s="35">
        <v>68652</v>
      </c>
      <c r="R7" s="26">
        <v>0</v>
      </c>
      <c r="S7" s="26">
        <v>0</v>
      </c>
      <c r="T7" s="29"/>
      <c r="U7" s="25" t="s">
        <v>17</v>
      </c>
      <c r="V7" s="26">
        <v>0</v>
      </c>
      <c r="W7" s="35">
        <f>$B7*W$4</f>
        <v>452865.98396399996</v>
      </c>
      <c r="X7" s="31"/>
      <c r="Y7" s="35">
        <v>87592</v>
      </c>
      <c r="Z7" s="26">
        <v>0</v>
      </c>
      <c r="AA7" s="26">
        <v>0</v>
      </c>
      <c r="AB7" s="32"/>
      <c r="AC7" s="25" t="s">
        <v>17</v>
      </c>
      <c r="AD7" s="26">
        <v>0</v>
      </c>
      <c r="AE7" s="35">
        <f>$B7*AE$4</f>
        <v>434546.67417000001</v>
      </c>
      <c r="AF7" s="31"/>
      <c r="AG7" s="35">
        <v>85738</v>
      </c>
      <c r="AH7" s="26">
        <v>0</v>
      </c>
      <c r="AI7" s="26">
        <v>0</v>
      </c>
      <c r="AK7" s="25" t="s">
        <v>17</v>
      </c>
      <c r="AL7" s="66">
        <v>1718187</v>
      </c>
      <c r="AM7" s="66" t="e">
        <f>SUM(#REF!+#REF!+#REF!+#REF!)</f>
        <v>#REF!</v>
      </c>
    </row>
    <row r="8" spans="1:39" s="33" customFormat="1" ht="13.5">
      <c r="A8" s="25" t="s">
        <v>18</v>
      </c>
      <c r="B8" s="66">
        <f>B7</f>
        <v>1718187</v>
      </c>
      <c r="C8" s="66">
        <f t="shared" ref="C8:C13" si="0">SUM(H8+P8+X8+AF8)</f>
        <v>0</v>
      </c>
      <c r="D8" s="66">
        <f>D6+D7</f>
        <v>293212</v>
      </c>
      <c r="E8" s="25" t="s">
        <v>18</v>
      </c>
      <c r="F8" s="26">
        <v>0</v>
      </c>
      <c r="G8" s="27">
        <f>SUM(G6:G7)</f>
        <v>452993.12980200001</v>
      </c>
      <c r="H8" s="27"/>
      <c r="I8" s="27">
        <f>I6+I7</f>
        <v>307470</v>
      </c>
      <c r="J8" s="26"/>
      <c r="K8" s="26"/>
      <c r="L8" s="29"/>
      <c r="M8" s="25" t="s">
        <v>18</v>
      </c>
      <c r="N8" s="26">
        <v>0</v>
      </c>
      <c r="O8" s="30">
        <f>SUM(O6:O7)</f>
        <v>377782.93025100004</v>
      </c>
      <c r="P8" s="30"/>
      <c r="Q8" s="30">
        <f>Q6+Q7</f>
        <v>54523</v>
      </c>
      <c r="R8" s="26">
        <v>0</v>
      </c>
      <c r="S8" s="26">
        <v>0</v>
      </c>
      <c r="T8" s="29"/>
      <c r="U8" s="25" t="s">
        <v>18</v>
      </c>
      <c r="V8" s="26">
        <v>0</v>
      </c>
      <c r="W8" s="30">
        <f>SUM(W6:W7)</f>
        <v>452865.98396399996</v>
      </c>
      <c r="X8" s="30"/>
      <c r="Y8" s="30">
        <f>Y6+Y7</f>
        <v>1634</v>
      </c>
      <c r="Z8" s="26">
        <v>0</v>
      </c>
      <c r="AA8" s="26">
        <v>0</v>
      </c>
      <c r="AB8" s="32"/>
      <c r="AC8" s="25" t="s">
        <v>18</v>
      </c>
      <c r="AD8" s="26">
        <v>0</v>
      </c>
      <c r="AE8" s="30">
        <f>SUM(AE6:AE7)</f>
        <v>434546.67417000001</v>
      </c>
      <c r="AF8" s="30"/>
      <c r="AG8" s="30">
        <f>AG6+AG7</f>
        <v>-70415</v>
      </c>
      <c r="AH8" s="26">
        <v>0</v>
      </c>
      <c r="AI8" s="26">
        <v>0</v>
      </c>
      <c r="AK8" s="25" t="s">
        <v>18</v>
      </c>
      <c r="AL8" s="66">
        <f>AL7</f>
        <v>1718187</v>
      </c>
      <c r="AM8" s="66" t="e">
        <f>AM6+AM7</f>
        <v>#REF!</v>
      </c>
    </row>
    <row r="9" spans="1:39" s="41" customFormat="1" ht="13.5">
      <c r="A9" s="42"/>
      <c r="B9" s="67">
        <f>SUM(G9+O9+W9+AE9)</f>
        <v>226000</v>
      </c>
      <c r="C9" s="67">
        <f t="shared" si="0"/>
        <v>0</v>
      </c>
      <c r="D9" s="67">
        <f>SUM(I9+Q9+Y9+AG9)</f>
        <v>0</v>
      </c>
      <c r="E9" s="36" t="s">
        <v>19</v>
      </c>
      <c r="F9" s="36" t="s">
        <v>20</v>
      </c>
      <c r="G9" s="37">
        <v>132000</v>
      </c>
      <c r="H9" s="37"/>
      <c r="I9" s="37"/>
      <c r="J9" s="38"/>
      <c r="K9" s="38">
        <f>SUM(G9:J9)</f>
        <v>132000</v>
      </c>
      <c r="L9" s="36"/>
      <c r="M9" s="36" t="s">
        <v>21</v>
      </c>
      <c r="N9" s="36" t="s">
        <v>22</v>
      </c>
      <c r="O9" s="40">
        <v>44000</v>
      </c>
      <c r="P9" s="40"/>
      <c r="Q9" s="40"/>
      <c r="R9" s="38">
        <v>11000</v>
      </c>
      <c r="S9" s="38">
        <f>SUM(O9:R9)</f>
        <v>55000</v>
      </c>
      <c r="T9" s="36"/>
      <c r="U9" s="43"/>
      <c r="V9" s="38"/>
      <c r="W9" s="38"/>
      <c r="X9" s="38"/>
      <c r="Y9" s="38"/>
      <c r="Z9" s="38"/>
      <c r="AA9" s="38">
        <f>SUM(W9:Z9)</f>
        <v>0</v>
      </c>
      <c r="AB9" s="36"/>
      <c r="AC9" s="43" t="s">
        <v>23</v>
      </c>
      <c r="AD9" s="43" t="s">
        <v>16</v>
      </c>
      <c r="AE9" s="43">
        <v>50000</v>
      </c>
      <c r="AF9" s="43"/>
      <c r="AG9" s="43"/>
      <c r="AH9" s="43">
        <v>12500</v>
      </c>
      <c r="AI9" s="43">
        <f>SUM(AE9:AH9)</f>
        <v>62500</v>
      </c>
      <c r="AK9" s="42"/>
      <c r="AL9" s="67" t="e">
        <f>SUM(#REF!+#REF!+#REF!+#REF!)</f>
        <v>#REF!</v>
      </c>
      <c r="AM9" s="67" t="e">
        <f>SUM(#REF!+#REF!+#REF!+#REF!)</f>
        <v>#REF!</v>
      </c>
    </row>
    <row r="10" spans="1:39" s="41" customFormat="1" ht="13.5">
      <c r="A10" s="42"/>
      <c r="B10" s="67">
        <f>SUM(G10+O10+W10+AE10)</f>
        <v>649563</v>
      </c>
      <c r="C10" s="67">
        <f t="shared" si="0"/>
        <v>0</v>
      </c>
      <c r="D10" s="67">
        <f>SUM(I10+Q10+Y10+AG10)</f>
        <v>55000</v>
      </c>
      <c r="E10" s="39" t="s">
        <v>24</v>
      </c>
      <c r="F10" s="36" t="s">
        <v>15</v>
      </c>
      <c r="G10" s="37">
        <v>220000</v>
      </c>
      <c r="H10" s="37"/>
      <c r="I10" s="37">
        <v>55000</v>
      </c>
      <c r="J10" s="38"/>
      <c r="K10" s="38">
        <f>SUM(G10:J10)</f>
        <v>275000</v>
      </c>
      <c r="L10" s="36"/>
      <c r="M10" s="39" t="s">
        <v>43</v>
      </c>
      <c r="N10" s="36" t="s">
        <v>14</v>
      </c>
      <c r="O10" s="40">
        <v>429563</v>
      </c>
      <c r="P10" s="40"/>
      <c r="Q10" s="40"/>
      <c r="R10" s="38">
        <v>354437</v>
      </c>
      <c r="S10" s="38">
        <f>SUM(O10:R10)</f>
        <v>784000</v>
      </c>
      <c r="T10" s="36"/>
      <c r="W10" s="38"/>
      <c r="X10" s="38"/>
      <c r="Y10" s="38"/>
      <c r="Z10" s="38"/>
      <c r="AA10" s="38">
        <f>SUM(W10:Z10)</f>
        <v>0</v>
      </c>
      <c r="AB10" s="36"/>
      <c r="AC10" s="43" t="s">
        <v>46</v>
      </c>
      <c r="AD10" s="43" t="s">
        <v>15</v>
      </c>
      <c r="AE10" s="43"/>
      <c r="AF10" s="43"/>
      <c r="AG10" s="43"/>
      <c r="AH10" s="43"/>
      <c r="AI10" s="43">
        <f>SUM(AE10:AH10)</f>
        <v>0</v>
      </c>
      <c r="AK10" s="42"/>
      <c r="AL10" s="67" t="e">
        <f>SUM(#REF!+#REF!+#REF!+#REF!)</f>
        <v>#REF!</v>
      </c>
      <c r="AM10" s="67" t="e">
        <f>SUM(#REF!+#REF!+#REF!+#REF!)</f>
        <v>#REF!</v>
      </c>
    </row>
    <row r="11" spans="1:39" s="41" customFormat="1" ht="13.5">
      <c r="A11" s="42"/>
      <c r="B11" s="67">
        <f>SUM(G11+O11+W11+AE11)</f>
        <v>415000</v>
      </c>
      <c r="C11" s="67">
        <f t="shared" si="0"/>
        <v>0</v>
      </c>
      <c r="D11" s="67">
        <f>SUM(I11+Q11+Y11+AG11)</f>
        <v>0</v>
      </c>
      <c r="E11" s="36" t="s">
        <v>25</v>
      </c>
      <c r="F11" s="36" t="s">
        <v>117</v>
      </c>
      <c r="G11" s="37">
        <v>55000</v>
      </c>
      <c r="H11" s="37"/>
      <c r="I11" s="37"/>
      <c r="J11" s="38">
        <v>13500</v>
      </c>
      <c r="K11" s="38">
        <f>SUM(G11:J11)</f>
        <v>68500</v>
      </c>
      <c r="L11" s="36"/>
      <c r="M11" s="36"/>
      <c r="N11" s="36"/>
      <c r="O11" s="40"/>
      <c r="P11" s="40"/>
      <c r="Q11" s="40"/>
      <c r="R11" s="38"/>
      <c r="S11" s="38">
        <f>SUM(O11:R11)</f>
        <v>0</v>
      </c>
      <c r="T11" s="36"/>
      <c r="U11" s="44"/>
      <c r="V11" s="44"/>
      <c r="W11" s="38"/>
      <c r="X11" s="38"/>
      <c r="Y11" s="38"/>
      <c r="Z11" s="38"/>
      <c r="AA11" s="38">
        <f>SUM(W11:Z11)</f>
        <v>0</v>
      </c>
      <c r="AB11" s="36"/>
      <c r="AC11" s="42" t="s">
        <v>31</v>
      </c>
      <c r="AD11" s="42" t="s">
        <v>15</v>
      </c>
      <c r="AE11" s="43">
        <v>360000</v>
      </c>
      <c r="AF11" s="43"/>
      <c r="AG11" s="43"/>
      <c r="AH11" s="43">
        <v>90000</v>
      </c>
      <c r="AI11" s="43">
        <f>SUM(AE11:AH11)</f>
        <v>450000</v>
      </c>
      <c r="AK11" s="42"/>
      <c r="AL11" s="67" t="e">
        <f>SUM(#REF!+#REF!+#REF!+#REF!)</f>
        <v>#REF!</v>
      </c>
      <c r="AM11" s="67" t="e">
        <f>SUM(#REF!+#REF!+#REF!+#REF!)</f>
        <v>#REF!</v>
      </c>
    </row>
    <row r="12" spans="1:39" s="41" customFormat="1" ht="13.5">
      <c r="A12" s="42"/>
      <c r="B12" s="67">
        <f>SUM(G12+O12+W12+AE12)</f>
        <v>427624</v>
      </c>
      <c r="C12" s="67">
        <f t="shared" si="0"/>
        <v>0</v>
      </c>
      <c r="D12" s="67">
        <f>SUM(I12+Q12+Y12+AG12)</f>
        <v>183412</v>
      </c>
      <c r="E12" s="42" t="s">
        <v>118</v>
      </c>
      <c r="F12" s="42" t="s">
        <v>15</v>
      </c>
      <c r="G12" s="45">
        <v>247624</v>
      </c>
      <c r="H12" s="45"/>
      <c r="I12" s="45">
        <v>183412</v>
      </c>
      <c r="J12" s="43"/>
      <c r="K12" s="43">
        <f>SUM(G12:J12)</f>
        <v>431036</v>
      </c>
      <c r="L12" s="36"/>
      <c r="M12" s="36"/>
      <c r="N12" s="36"/>
      <c r="O12" s="40"/>
      <c r="P12" s="40"/>
      <c r="Q12" s="40"/>
      <c r="R12" s="38"/>
      <c r="S12" s="38">
        <f>SUM(O12:R12)</f>
        <v>0</v>
      </c>
      <c r="T12" s="36"/>
      <c r="U12" s="36"/>
      <c r="V12" s="36"/>
      <c r="W12" s="38"/>
      <c r="X12" s="38"/>
      <c r="Y12" s="38"/>
      <c r="Z12" s="38"/>
      <c r="AA12" s="38">
        <f>SUM(W12:Z12)</f>
        <v>0</v>
      </c>
      <c r="AB12" s="36"/>
      <c r="AC12" s="42" t="s">
        <v>47</v>
      </c>
      <c r="AD12" s="42" t="s">
        <v>15</v>
      </c>
      <c r="AE12" s="43">
        <v>180000</v>
      </c>
      <c r="AF12" s="43"/>
      <c r="AG12" s="43"/>
      <c r="AH12" s="43">
        <v>45000</v>
      </c>
      <c r="AI12" s="43">
        <f>SUM(AE12:AH12)</f>
        <v>225000</v>
      </c>
      <c r="AK12" s="42"/>
      <c r="AL12" s="67" t="e">
        <f>SUM(#REF!+#REF!+#REF!+#REF!)</f>
        <v>#REF!</v>
      </c>
      <c r="AM12" s="67" t="e">
        <f>SUM(#REF!+#REF!+#REF!+#REF!)</f>
        <v>#REF!</v>
      </c>
    </row>
    <row r="13" spans="1:39" s="41" customFormat="1" ht="13.5">
      <c r="A13" s="42"/>
      <c r="B13" s="67">
        <f>SUM(G13+O13+W13+AE13)</f>
        <v>0</v>
      </c>
      <c r="C13" s="67">
        <f t="shared" si="0"/>
        <v>0</v>
      </c>
      <c r="D13" s="67">
        <f>SUM(I13+Q13+Y13+AG13)</f>
        <v>54800</v>
      </c>
      <c r="E13" s="36"/>
      <c r="F13" s="36"/>
      <c r="G13" s="37"/>
      <c r="H13" s="37"/>
      <c r="I13" s="37"/>
      <c r="J13" s="38"/>
      <c r="K13" s="38">
        <f>SUM(G13:J13)</f>
        <v>0</v>
      </c>
      <c r="L13" s="36"/>
      <c r="M13" s="36"/>
      <c r="N13" s="36"/>
      <c r="O13" s="40"/>
      <c r="P13" s="40"/>
      <c r="Q13" s="40"/>
      <c r="R13" s="38"/>
      <c r="S13" s="38"/>
      <c r="T13" s="36"/>
      <c r="U13" s="88"/>
      <c r="V13" s="88"/>
      <c r="W13" s="88"/>
      <c r="X13" s="88"/>
      <c r="Y13" s="38"/>
      <c r="Z13" s="38" t="s">
        <v>1</v>
      </c>
      <c r="AA13" s="38">
        <f>SUM(W13:Z13)</f>
        <v>0</v>
      </c>
      <c r="AB13" s="36"/>
      <c r="AC13" s="42" t="s">
        <v>106</v>
      </c>
      <c r="AD13" s="42"/>
      <c r="AE13" s="43"/>
      <c r="AF13" s="43"/>
      <c r="AG13" s="43">
        <v>54800</v>
      </c>
      <c r="AH13" s="43">
        <f>224000+9101</f>
        <v>233101</v>
      </c>
      <c r="AI13" s="43">
        <f>SUM(AE13:AH13)</f>
        <v>287901</v>
      </c>
      <c r="AK13" s="42"/>
      <c r="AL13" s="67" t="e">
        <f>SUM(#REF!+#REF!+#REF!+#REF!)</f>
        <v>#REF!</v>
      </c>
      <c r="AM13" s="67" t="e">
        <f>SUM(#REF!+#REF!+#REF!+#REF!)</f>
        <v>#REF!</v>
      </c>
    </row>
    <row r="14" spans="1:39" s="78" customFormat="1" ht="13.5">
      <c r="A14" s="70" t="s">
        <v>109</v>
      </c>
      <c r="B14" s="71">
        <f>B8-SUM(B9:B11)</f>
        <v>427624</v>
      </c>
      <c r="C14" s="71">
        <f>C8-SUM(C9:C11)</f>
        <v>0</v>
      </c>
      <c r="D14" s="71">
        <f>D8-SUM(D9:D11)-D13</f>
        <v>183412</v>
      </c>
      <c r="E14" s="70" t="s">
        <v>109</v>
      </c>
      <c r="F14" s="72">
        <v>0</v>
      </c>
      <c r="G14" s="73">
        <f>SUM(G8-(SUM(G9:G11)))</f>
        <v>45993.12980200001</v>
      </c>
      <c r="H14" s="73"/>
      <c r="I14" s="73">
        <f>SUM(I8-(SUM(I9:I11)))</f>
        <v>252470</v>
      </c>
      <c r="J14" s="72">
        <v>0</v>
      </c>
      <c r="K14" s="72">
        <v>0</v>
      </c>
      <c r="L14" s="75"/>
      <c r="M14" s="70" t="s">
        <v>109</v>
      </c>
      <c r="N14" s="72">
        <v>0</v>
      </c>
      <c r="O14" s="76">
        <f>SUM(O8-(SUM(O9:O13)))</f>
        <v>-95780.069748999958</v>
      </c>
      <c r="P14" s="76"/>
      <c r="Q14" s="76">
        <f>SUM(Q8-(SUM(Q9:Q13)))</f>
        <v>54523</v>
      </c>
      <c r="R14" s="72">
        <v>0</v>
      </c>
      <c r="S14" s="72">
        <v>0</v>
      </c>
      <c r="T14" s="75"/>
      <c r="U14" s="70" t="s">
        <v>26</v>
      </c>
      <c r="V14" s="72">
        <v>0</v>
      </c>
      <c r="W14" s="76">
        <f>SUM(W8-(SUM(W9:W13)))</f>
        <v>452865.98396399996</v>
      </c>
      <c r="X14" s="76"/>
      <c r="Y14" s="76">
        <f>SUM(Y8-(SUM(Y9:Y13)))</f>
        <v>1634</v>
      </c>
      <c r="Z14" s="72">
        <v>0</v>
      </c>
      <c r="AA14" s="72">
        <v>0</v>
      </c>
      <c r="AB14" s="77"/>
      <c r="AC14" s="79" t="s">
        <v>26</v>
      </c>
      <c r="AD14" s="80">
        <v>0</v>
      </c>
      <c r="AE14" s="76">
        <f>SUM(AE8-(SUM(AE9:AE13)))</f>
        <v>-155453.32582999999</v>
      </c>
      <c r="AF14" s="76"/>
      <c r="AG14" s="76">
        <f>SUM(AG8-(SUM(AG9:AG13)))</f>
        <v>-125215</v>
      </c>
      <c r="AH14" s="80">
        <v>0</v>
      </c>
      <c r="AI14" s="80">
        <v>0</v>
      </c>
      <c r="AK14" s="70" t="s">
        <v>109</v>
      </c>
      <c r="AL14" s="71" t="e">
        <f>AL8-SUM(AL9:AL11)</f>
        <v>#REF!</v>
      </c>
      <c r="AM14" s="91">
        <f>SUM(Y14,AG14,Q14,I14)</f>
        <v>183412</v>
      </c>
    </row>
    <row r="15" spans="1:39" s="78" customFormat="1" ht="13.5">
      <c r="A15" s="70" t="s">
        <v>110</v>
      </c>
      <c r="B15" s="71"/>
      <c r="C15" s="71"/>
      <c r="D15" s="71">
        <f>SUM(I15+Q15+Y15+AG15)</f>
        <v>183412</v>
      </c>
      <c r="E15" s="70" t="s">
        <v>110</v>
      </c>
      <c r="F15" s="72"/>
      <c r="G15" s="73">
        <v>0</v>
      </c>
      <c r="H15" s="73"/>
      <c r="I15" s="73">
        <f>I14</f>
        <v>252470</v>
      </c>
      <c r="J15" s="72"/>
      <c r="K15" s="72"/>
      <c r="L15" s="75"/>
      <c r="M15" s="70" t="s">
        <v>110</v>
      </c>
      <c r="N15" s="72"/>
      <c r="O15" s="76">
        <v>0</v>
      </c>
      <c r="P15" s="76"/>
      <c r="Q15" s="76">
        <f>Q14</f>
        <v>54523</v>
      </c>
      <c r="R15" s="72"/>
      <c r="S15" s="72"/>
      <c r="T15" s="75"/>
      <c r="U15" s="70"/>
      <c r="V15" s="72"/>
      <c r="W15" s="76">
        <v>0</v>
      </c>
      <c r="X15" s="76"/>
      <c r="Y15" s="76">
        <f>Y14</f>
        <v>1634</v>
      </c>
      <c r="Z15" s="72"/>
      <c r="AA15" s="72"/>
      <c r="AB15" s="77"/>
      <c r="AC15" s="79"/>
      <c r="AD15" s="80"/>
      <c r="AE15" s="76">
        <v>0</v>
      </c>
      <c r="AF15" s="76"/>
      <c r="AG15" s="76">
        <f>AG14</f>
        <v>-125215</v>
      </c>
      <c r="AH15" s="80"/>
      <c r="AI15" s="80"/>
      <c r="AK15" s="70" t="s">
        <v>110</v>
      </c>
      <c r="AL15" s="71"/>
      <c r="AM15" s="91">
        <f>SUM(Y15,AG15,Q15,I15)</f>
        <v>183412</v>
      </c>
    </row>
    <row r="16" spans="1:39" s="33" customFormat="1" ht="13.5">
      <c r="A16" s="25" t="s">
        <v>129</v>
      </c>
      <c r="B16" s="90">
        <f>(W16+G16)</f>
        <v>0</v>
      </c>
      <c r="C16" s="66"/>
      <c r="D16" s="66"/>
      <c r="E16" s="25"/>
      <c r="F16" s="26"/>
      <c r="G16" s="27"/>
      <c r="H16" s="27"/>
      <c r="I16" s="27"/>
      <c r="J16" s="26"/>
      <c r="K16" s="26"/>
      <c r="L16" s="29"/>
      <c r="M16" s="25"/>
      <c r="N16" s="26"/>
      <c r="P16" s="30"/>
      <c r="Q16" s="30"/>
      <c r="R16" s="26"/>
      <c r="S16" s="26"/>
      <c r="T16" s="29"/>
      <c r="U16" s="25"/>
      <c r="V16" s="26"/>
      <c r="W16" s="30"/>
      <c r="X16" s="30"/>
      <c r="Y16" s="30"/>
      <c r="Z16" s="26"/>
      <c r="AA16" s="26"/>
      <c r="AB16" s="32"/>
      <c r="AC16" s="46"/>
      <c r="AD16" s="47"/>
      <c r="AF16" s="30"/>
      <c r="AG16" s="30"/>
      <c r="AH16" s="47"/>
      <c r="AI16" s="47"/>
      <c r="AK16" s="25" t="s">
        <v>129</v>
      </c>
      <c r="AL16" s="89">
        <f>SUM(W16,AE16,O16,G16)</f>
        <v>0</v>
      </c>
      <c r="AM16" s="66"/>
    </row>
    <row r="17" spans="1:39" s="33" customFormat="1" ht="13.5">
      <c r="A17" s="25" t="s">
        <v>130</v>
      </c>
      <c r="B17" s="89">
        <f>SUM(O17+AE17)</f>
        <v>0</v>
      </c>
      <c r="C17" s="66"/>
      <c r="D17" s="66"/>
      <c r="E17" s="25"/>
      <c r="F17" s="26"/>
      <c r="G17" s="27"/>
      <c r="H17" s="27"/>
      <c r="I17" s="27"/>
      <c r="J17" s="26"/>
      <c r="K17" s="26"/>
      <c r="L17" s="29"/>
      <c r="M17" s="25"/>
      <c r="N17" s="26"/>
      <c r="O17" s="30"/>
      <c r="P17" s="30"/>
      <c r="Q17" s="30"/>
      <c r="R17" s="26"/>
      <c r="S17" s="26"/>
      <c r="T17" s="29"/>
      <c r="U17" s="25"/>
      <c r="V17" s="26"/>
      <c r="W17" s="30"/>
      <c r="X17" s="30"/>
      <c r="Y17" s="30"/>
      <c r="Z17" s="26"/>
      <c r="AA17" s="26"/>
      <c r="AB17" s="32"/>
      <c r="AC17" s="46"/>
      <c r="AD17" s="47"/>
      <c r="AE17" s="30"/>
      <c r="AF17" s="30"/>
      <c r="AG17" s="30"/>
      <c r="AH17" s="47"/>
      <c r="AI17" s="47"/>
      <c r="AK17" s="25" t="s">
        <v>130</v>
      </c>
      <c r="AL17" s="89">
        <f>SUM(W17,AE17,O17,G17)</f>
        <v>0</v>
      </c>
      <c r="AM17" s="66"/>
    </row>
    <row r="18" spans="1:39" s="33" customFormat="1" ht="13.5">
      <c r="A18" s="46" t="s">
        <v>27</v>
      </c>
      <c r="B18" s="66">
        <v>1752550</v>
      </c>
      <c r="C18" s="66"/>
      <c r="D18" s="66">
        <f>SUM(I18+Q18+Y18+AG18)</f>
        <v>320296</v>
      </c>
      <c r="E18" s="25" t="s">
        <v>27</v>
      </c>
      <c r="F18" s="26">
        <v>0</v>
      </c>
      <c r="G18" s="34">
        <f>$B18*G$4</f>
        <v>462052.79729999998</v>
      </c>
      <c r="H18" s="28"/>
      <c r="I18" s="34">
        <v>78314</v>
      </c>
      <c r="J18" s="26">
        <v>0</v>
      </c>
      <c r="K18" s="26">
        <v>0</v>
      </c>
      <c r="L18" s="29"/>
      <c r="M18" s="25" t="s">
        <v>27</v>
      </c>
      <c r="N18" s="26">
        <v>0</v>
      </c>
      <c r="O18" s="35">
        <f>$B18*O$4</f>
        <v>385338.42615000001</v>
      </c>
      <c r="P18" s="31"/>
      <c r="Q18" s="35">
        <v>68652</v>
      </c>
      <c r="R18" s="26">
        <v>0</v>
      </c>
      <c r="S18" s="26">
        <v>0</v>
      </c>
      <c r="T18" s="29"/>
      <c r="U18" s="25" t="s">
        <v>27</v>
      </c>
      <c r="V18" s="26">
        <v>0</v>
      </c>
      <c r="W18" s="35">
        <f>$B18*W$4</f>
        <v>461923.10859999998</v>
      </c>
      <c r="X18" s="31"/>
      <c r="Y18" s="35">
        <v>87592</v>
      </c>
      <c r="Z18" s="26">
        <v>0</v>
      </c>
      <c r="AA18" s="26">
        <v>0</v>
      </c>
      <c r="AB18" s="32"/>
      <c r="AC18" s="46" t="s">
        <v>27</v>
      </c>
      <c r="AD18" s="47">
        <v>0</v>
      </c>
      <c r="AE18" s="35">
        <f>$B18*AE$4</f>
        <v>443237.42050000007</v>
      </c>
      <c r="AF18" s="31"/>
      <c r="AG18" s="35">
        <v>85738</v>
      </c>
      <c r="AH18" s="47">
        <v>0</v>
      </c>
      <c r="AI18" s="47">
        <v>0</v>
      </c>
      <c r="AK18" s="46" t="s">
        <v>27</v>
      </c>
      <c r="AL18" s="66">
        <f>$B18</f>
        <v>1752550</v>
      </c>
      <c r="AM18" s="89">
        <f>SUM(Y18,AG18,Q18,I18)</f>
        <v>320296</v>
      </c>
    </row>
    <row r="19" spans="1:39" s="33" customFormat="1" ht="13.5">
      <c r="A19" s="46" t="s">
        <v>28</v>
      </c>
      <c r="B19" s="66">
        <f>B18</f>
        <v>1752550</v>
      </c>
      <c r="C19" s="66">
        <f>SUM(H19+P19+X19+AF19)</f>
        <v>0</v>
      </c>
      <c r="D19" s="66">
        <f>D15+D18</f>
        <v>503708</v>
      </c>
      <c r="E19" s="25" t="s">
        <v>28</v>
      </c>
      <c r="F19" s="26">
        <v>0</v>
      </c>
      <c r="G19" s="27">
        <f>SUM(G16:G18)</f>
        <v>462052.79729999998</v>
      </c>
      <c r="H19" s="27"/>
      <c r="I19" s="27">
        <f>SUM(I15+I18)</f>
        <v>330784</v>
      </c>
      <c r="J19" s="26">
        <v>0</v>
      </c>
      <c r="K19" s="26">
        <v>0</v>
      </c>
      <c r="L19" s="29"/>
      <c r="M19" s="25" t="s">
        <v>28</v>
      </c>
      <c r="N19" s="26">
        <v>0</v>
      </c>
      <c r="O19" s="27">
        <f>SUM(O16:O18)</f>
        <v>385338.42615000001</v>
      </c>
      <c r="P19" s="30"/>
      <c r="Q19" s="30">
        <f>Q15+Q18</f>
        <v>123175</v>
      </c>
      <c r="R19" s="26">
        <v>0</v>
      </c>
      <c r="S19" s="26">
        <v>0</v>
      </c>
      <c r="T19" s="29"/>
      <c r="U19" s="25" t="s">
        <v>28</v>
      </c>
      <c r="V19" s="26">
        <v>0</v>
      </c>
      <c r="W19" s="27">
        <f>SUM(W16:W18)</f>
        <v>461923.10859999998</v>
      </c>
      <c r="X19" s="30"/>
      <c r="Y19" s="30">
        <f>Y15+Y18</f>
        <v>89226</v>
      </c>
      <c r="Z19" s="26">
        <v>0</v>
      </c>
      <c r="AA19" s="26">
        <v>0</v>
      </c>
      <c r="AB19" s="32"/>
      <c r="AC19" s="46" t="s">
        <v>28</v>
      </c>
      <c r="AD19" s="47">
        <v>0</v>
      </c>
      <c r="AE19" s="27">
        <f>SUM(AE16:AE18)</f>
        <v>443237.42050000007</v>
      </c>
      <c r="AF19" s="30"/>
      <c r="AG19" s="30">
        <f>AG15+AG18</f>
        <v>-39477</v>
      </c>
      <c r="AH19" s="47">
        <v>0</v>
      </c>
      <c r="AI19" s="47">
        <v>0</v>
      </c>
      <c r="AK19" s="46" t="s">
        <v>28</v>
      </c>
      <c r="AL19" s="66">
        <f>AL18+AL17+AL16</f>
        <v>1752550</v>
      </c>
      <c r="AM19" s="89">
        <f t="shared" ref="AM19:AM27" si="1">SUM(Y19,AG19,Q19,I19)</f>
        <v>503708</v>
      </c>
    </row>
    <row r="20" spans="1:39" s="41" customFormat="1" ht="13.5">
      <c r="A20" s="42"/>
      <c r="B20" s="67">
        <f>SUM(G20+O20+W20+AE20)</f>
        <v>1370922</v>
      </c>
      <c r="C20" s="67">
        <f>SUM(H20+P20+X20+AF20)</f>
        <v>0</v>
      </c>
      <c r="D20" s="67">
        <f>SUM(I20+Q20+Y20+AG20)</f>
        <v>109343</v>
      </c>
      <c r="E20" s="36" t="s">
        <v>29</v>
      </c>
      <c r="F20" s="36" t="s">
        <v>117</v>
      </c>
      <c r="G20" s="45">
        <v>55000</v>
      </c>
      <c r="H20" s="45"/>
      <c r="I20" s="45"/>
      <c r="J20" s="43"/>
      <c r="K20" s="43">
        <f>SUM(G20:J20)</f>
        <v>55000</v>
      </c>
      <c r="L20" s="42"/>
      <c r="M20" s="49" t="s">
        <v>154</v>
      </c>
      <c r="N20" s="42" t="s">
        <v>14</v>
      </c>
      <c r="O20" s="50">
        <v>640790</v>
      </c>
      <c r="P20" s="50"/>
      <c r="Q20" s="50">
        <v>3175</v>
      </c>
      <c r="R20" s="43">
        <v>175750</v>
      </c>
      <c r="S20" s="43">
        <f>SUM(O20:R20)</f>
        <v>819715</v>
      </c>
      <c r="T20" s="42"/>
      <c r="U20" s="43" t="s">
        <v>30</v>
      </c>
      <c r="V20" s="43" t="s">
        <v>14</v>
      </c>
      <c r="W20" s="43">
        <v>537166</v>
      </c>
      <c r="X20" s="43"/>
      <c r="Y20" s="43">
        <v>106168</v>
      </c>
      <c r="Z20" s="43">
        <v>33000</v>
      </c>
      <c r="AA20" s="43">
        <f>SUM(W20:Z20)</f>
        <v>676334</v>
      </c>
      <c r="AB20" s="42"/>
      <c r="AC20" s="43" t="s">
        <v>46</v>
      </c>
      <c r="AD20" s="42" t="s">
        <v>15</v>
      </c>
      <c r="AE20" s="43">
        <v>137966</v>
      </c>
      <c r="AF20" s="43"/>
      <c r="AG20" s="43"/>
      <c r="AH20" s="43">
        <v>42000</v>
      </c>
      <c r="AI20" s="43">
        <f>SUM(AE20:AH20)</f>
        <v>179966</v>
      </c>
      <c r="AK20" s="42"/>
      <c r="AL20" s="67">
        <f t="shared" ref="AL20:AL25" si="2">SUM(W20,AE20,O20,G20)</f>
        <v>1370922</v>
      </c>
      <c r="AM20" s="67">
        <f t="shared" si="1"/>
        <v>109343</v>
      </c>
    </row>
    <row r="21" spans="1:39" s="41" customFormat="1" ht="13.5">
      <c r="A21" s="42"/>
      <c r="B21" s="68">
        <f>SUM(G21+O21+W21+AE21)</f>
        <v>512782</v>
      </c>
      <c r="C21" s="68">
        <f>SUM(H21+P21+X21+AF21)</f>
        <v>0</v>
      </c>
      <c r="D21" s="67">
        <f>SUM(I21+Q21+Y21+AG21)</f>
        <v>147372</v>
      </c>
      <c r="E21" s="42" t="s">
        <v>44</v>
      </c>
      <c r="F21" s="42" t="s">
        <v>15</v>
      </c>
      <c r="G21" s="45">
        <v>242259</v>
      </c>
      <c r="H21" s="45"/>
      <c r="I21" s="45">
        <v>147372</v>
      </c>
      <c r="J21" s="43"/>
      <c r="K21" s="43">
        <f>SUM(G21:J21)</f>
        <v>389631</v>
      </c>
      <c r="L21" s="42"/>
      <c r="M21" s="42" t="s">
        <v>128</v>
      </c>
      <c r="N21" s="42" t="s">
        <v>127</v>
      </c>
      <c r="O21" s="50">
        <v>0</v>
      </c>
      <c r="P21" s="50"/>
      <c r="Q21" s="50"/>
      <c r="R21" s="43"/>
      <c r="S21" s="43">
        <f>SUM(O21:R21)</f>
        <v>0</v>
      </c>
      <c r="T21" s="42"/>
      <c r="U21" s="42"/>
      <c r="V21" s="42"/>
      <c r="W21" s="43"/>
      <c r="X21" s="43"/>
      <c r="Y21" s="43"/>
      <c r="Z21" s="43"/>
      <c r="AA21" s="43">
        <f>SUM(W21:Z21)</f>
        <v>0</v>
      </c>
      <c r="AB21" s="42"/>
      <c r="AC21" s="42" t="s">
        <v>126</v>
      </c>
      <c r="AD21" s="93" t="s">
        <v>146</v>
      </c>
      <c r="AE21" s="43">
        <v>270523</v>
      </c>
      <c r="AF21" s="43"/>
      <c r="AG21" s="43"/>
      <c r="AH21" s="43">
        <v>73700</v>
      </c>
      <c r="AI21" s="43">
        <f>SUM(AE21:AH21)</f>
        <v>344223</v>
      </c>
      <c r="AK21" s="42"/>
      <c r="AL21" s="67">
        <f t="shared" si="2"/>
        <v>512782</v>
      </c>
      <c r="AM21" s="67">
        <f t="shared" si="1"/>
        <v>147372</v>
      </c>
    </row>
    <row r="22" spans="1:39" s="41" customFormat="1" ht="13.5">
      <c r="A22" s="42"/>
      <c r="B22" s="68">
        <f>SUM(G22+O22+W22+AE22)</f>
        <v>4000</v>
      </c>
      <c r="C22" s="68"/>
      <c r="D22" s="67"/>
      <c r="E22" s="42" t="s">
        <v>45</v>
      </c>
      <c r="F22" s="42" t="s">
        <v>135</v>
      </c>
      <c r="G22" s="45">
        <v>4000</v>
      </c>
      <c r="H22" s="45"/>
      <c r="I22" s="45"/>
      <c r="J22" s="43"/>
      <c r="K22" s="43">
        <f>SUM(G22:J22)</f>
        <v>4000</v>
      </c>
      <c r="L22" s="42"/>
      <c r="M22" s="42"/>
      <c r="N22" s="42"/>
      <c r="O22" s="50"/>
      <c r="P22" s="50"/>
      <c r="Q22" s="50"/>
      <c r="R22" s="43"/>
      <c r="S22" s="43">
        <f>SUM(O22:R22)</f>
        <v>0</v>
      </c>
      <c r="T22" s="42"/>
      <c r="U22" s="42"/>
      <c r="V22" s="42"/>
      <c r="W22" s="43"/>
      <c r="X22" s="43"/>
      <c r="Y22" s="43"/>
      <c r="Z22" s="43"/>
      <c r="AA22" s="43">
        <f>SUM(W22:Z22)</f>
        <v>0</v>
      </c>
      <c r="AB22" s="42"/>
      <c r="AC22" s="42"/>
      <c r="AD22" s="42"/>
      <c r="AE22" s="43"/>
      <c r="AF22" s="43"/>
      <c r="AG22" s="43"/>
      <c r="AH22" s="43"/>
      <c r="AI22" s="43">
        <f>SUM(AE22:AH22)</f>
        <v>0</v>
      </c>
      <c r="AK22" s="42"/>
      <c r="AL22" s="67">
        <f t="shared" si="2"/>
        <v>4000</v>
      </c>
      <c r="AM22" s="67">
        <f t="shared" si="1"/>
        <v>0</v>
      </c>
    </row>
    <row r="23" spans="1:39" s="41" customFormat="1" ht="13.5">
      <c r="A23" s="42"/>
      <c r="B23" s="68">
        <f>SUM(G23+O23+W23+AE23)</f>
        <v>0</v>
      </c>
      <c r="C23" s="68"/>
      <c r="D23" s="67"/>
      <c r="E23" s="42"/>
      <c r="F23" s="42"/>
      <c r="G23" s="45"/>
      <c r="H23" s="45"/>
      <c r="I23" s="45"/>
      <c r="J23" s="43"/>
      <c r="K23" s="43">
        <f>SUM(G23:J23)</f>
        <v>0</v>
      </c>
      <c r="L23" s="42"/>
      <c r="M23" s="42"/>
      <c r="N23" s="42"/>
      <c r="O23" s="50"/>
      <c r="P23" s="50"/>
      <c r="Q23" s="50"/>
      <c r="R23" s="43"/>
      <c r="S23" s="43">
        <f>SUM(O23:R23)</f>
        <v>0</v>
      </c>
      <c r="T23" s="42"/>
      <c r="U23" s="42"/>
      <c r="V23" s="42"/>
      <c r="W23" s="43"/>
      <c r="X23" s="43"/>
      <c r="Y23" s="43"/>
      <c r="Z23" s="43"/>
      <c r="AA23" s="43">
        <f>SUM(W23:Z23)</f>
        <v>0</v>
      </c>
      <c r="AB23" s="42"/>
      <c r="AC23" s="42"/>
      <c r="AD23" s="42"/>
      <c r="AE23" s="43"/>
      <c r="AF23" s="43"/>
      <c r="AG23" s="43"/>
      <c r="AH23" s="43"/>
      <c r="AI23" s="43">
        <f>SUM(AE23:AH23)</f>
        <v>0</v>
      </c>
      <c r="AK23" s="42"/>
      <c r="AL23" s="67">
        <f t="shared" si="2"/>
        <v>0</v>
      </c>
      <c r="AM23" s="67">
        <f t="shared" si="1"/>
        <v>0</v>
      </c>
    </row>
    <row r="24" spans="1:39" s="78" customFormat="1" ht="13.5">
      <c r="A24" s="70" t="s">
        <v>113</v>
      </c>
      <c r="B24" s="71">
        <f>B19-SUM(B20:B23)</f>
        <v>-135154</v>
      </c>
      <c r="C24" s="71">
        <f>C19-SUM(C20:C23)</f>
        <v>0</v>
      </c>
      <c r="D24" s="71">
        <f>D19-SUM(D20:D23)</f>
        <v>246993</v>
      </c>
      <c r="E24" s="79" t="s">
        <v>113</v>
      </c>
      <c r="F24" s="80">
        <v>0</v>
      </c>
      <c r="G24" s="82">
        <f>SUM(G19-(SUM(G20:G23)))</f>
        <v>160793.79729999998</v>
      </c>
      <c r="H24" s="82"/>
      <c r="I24" s="82">
        <f>SUM(I19-(SUM(I20:I23)))</f>
        <v>183412</v>
      </c>
      <c r="J24" s="80">
        <v>0</v>
      </c>
      <c r="K24" s="80">
        <v>0</v>
      </c>
      <c r="L24" s="81"/>
      <c r="M24" s="70" t="s">
        <v>113</v>
      </c>
      <c r="N24" s="80">
        <v>0</v>
      </c>
      <c r="O24" s="82">
        <f>SUM(O19-(SUM(O20:O23)))</f>
        <v>-255451.57384999999</v>
      </c>
      <c r="P24" s="82"/>
      <c r="Q24" s="82">
        <f>SUM(Q19-(SUM(Q20:Q23)))</f>
        <v>120000</v>
      </c>
      <c r="R24" s="80">
        <v>0</v>
      </c>
      <c r="S24" s="80">
        <v>0</v>
      </c>
      <c r="T24" s="81"/>
      <c r="U24" s="79" t="s">
        <v>32</v>
      </c>
      <c r="V24" s="80">
        <v>0</v>
      </c>
      <c r="W24" s="82">
        <f>SUM(W19-(SUM(W20:W23)))</f>
        <v>-75242.891400000022</v>
      </c>
      <c r="X24" s="82"/>
      <c r="Y24" s="82">
        <f>SUM(Y19-(SUM(Y20:Y23)))</f>
        <v>-16942</v>
      </c>
      <c r="Z24" s="80">
        <v>0</v>
      </c>
      <c r="AA24" s="80">
        <v>0</v>
      </c>
      <c r="AB24" s="83"/>
      <c r="AC24" s="79" t="s">
        <v>32</v>
      </c>
      <c r="AD24" s="80">
        <v>0</v>
      </c>
      <c r="AE24" s="82">
        <f>SUM(AE19-(SUM(AE20)))</f>
        <v>305271.42050000007</v>
      </c>
      <c r="AF24" s="82"/>
      <c r="AG24" s="82">
        <f>SUM(AG19-(SUM(AG20:AG23)))</f>
        <v>-39477</v>
      </c>
      <c r="AH24" s="80">
        <v>0</v>
      </c>
      <c r="AI24" s="80">
        <v>0</v>
      </c>
      <c r="AK24" s="70" t="s">
        <v>113</v>
      </c>
      <c r="AL24" s="91">
        <f>SUM(W24,AE24,O24,G24)</f>
        <v>135370.75255000003</v>
      </c>
      <c r="AM24" s="91">
        <f t="shared" si="1"/>
        <v>246993</v>
      </c>
    </row>
    <row r="25" spans="1:39" s="78" customFormat="1" ht="13.5">
      <c r="A25" s="70" t="s">
        <v>114</v>
      </c>
      <c r="B25" s="71">
        <f>SUM(G25+O25+W25+AE25)</f>
        <v>135370.75255000003</v>
      </c>
      <c r="C25" s="71"/>
      <c r="D25" s="71">
        <v>281090</v>
      </c>
      <c r="E25" s="70" t="s">
        <v>114</v>
      </c>
      <c r="F25" s="80"/>
      <c r="G25" s="73">
        <f>G24</f>
        <v>160793.79729999998</v>
      </c>
      <c r="H25" s="73"/>
      <c r="I25" s="73">
        <v>209753</v>
      </c>
      <c r="J25" s="80"/>
      <c r="K25" s="80"/>
      <c r="L25" s="81"/>
      <c r="M25" s="70" t="s">
        <v>114</v>
      </c>
      <c r="N25" s="80"/>
      <c r="O25" s="73">
        <f>O24</f>
        <v>-255451.57384999999</v>
      </c>
      <c r="P25" s="73"/>
      <c r="Q25" s="73">
        <v>138168</v>
      </c>
      <c r="R25" s="80"/>
      <c r="S25" s="80"/>
      <c r="T25" s="81"/>
      <c r="U25" s="79"/>
      <c r="V25" s="80"/>
      <c r="W25" s="73">
        <f>W24</f>
        <v>-75242.891400000022</v>
      </c>
      <c r="X25" s="73"/>
      <c r="Y25" s="73">
        <v>-9053</v>
      </c>
      <c r="Z25" s="80"/>
      <c r="AA25" s="80"/>
      <c r="AB25" s="83"/>
      <c r="AC25" s="79"/>
      <c r="AD25" s="80"/>
      <c r="AE25" s="73">
        <f>AE24</f>
        <v>305271.42050000007</v>
      </c>
      <c r="AF25" s="73"/>
      <c r="AG25" s="73">
        <v>-57778</v>
      </c>
      <c r="AH25" s="80"/>
      <c r="AI25" s="80"/>
      <c r="AK25" s="70" t="s">
        <v>114</v>
      </c>
      <c r="AL25" s="91">
        <f t="shared" si="2"/>
        <v>135370.75255000003</v>
      </c>
      <c r="AM25" s="91">
        <f t="shared" si="1"/>
        <v>281090</v>
      </c>
    </row>
    <row r="26" spans="1:39" s="33" customFormat="1" ht="13.5">
      <c r="A26" s="46" t="s">
        <v>180</v>
      </c>
      <c r="B26" s="66">
        <v>1587226</v>
      </c>
      <c r="C26" s="66"/>
      <c r="D26" s="66">
        <v>293688</v>
      </c>
      <c r="E26" s="58" t="str">
        <f>$A26</f>
        <v>'16 ALLOCATION</v>
      </c>
      <c r="F26" s="47">
        <v>0</v>
      </c>
      <c r="G26" s="34">
        <v>439175</v>
      </c>
      <c r="H26" s="53"/>
      <c r="I26" s="34">
        <v>72090</v>
      </c>
      <c r="J26" s="47">
        <v>0</v>
      </c>
      <c r="K26" s="47">
        <v>0</v>
      </c>
      <c r="L26" s="48"/>
      <c r="M26" s="58" t="str">
        <f>$A26</f>
        <v>'16 ALLOCATION</v>
      </c>
      <c r="N26" s="47">
        <v>0</v>
      </c>
      <c r="O26" s="34">
        <v>366507</v>
      </c>
      <c r="P26" s="53"/>
      <c r="Q26" s="35">
        <v>63197</v>
      </c>
      <c r="R26" s="47">
        <v>0</v>
      </c>
      <c r="S26" s="47">
        <v>0</v>
      </c>
      <c r="T26" s="48"/>
      <c r="U26" s="58" t="str">
        <f>$A26</f>
        <v>'16 ALLOCATION</v>
      </c>
      <c r="V26" s="47">
        <v>0</v>
      </c>
      <c r="W26" s="34">
        <v>439650</v>
      </c>
      <c r="X26" s="53"/>
      <c r="Y26" s="35">
        <v>79476</v>
      </c>
      <c r="Z26" s="47">
        <v>0</v>
      </c>
      <c r="AA26" s="47">
        <v>0</v>
      </c>
      <c r="AB26" s="52"/>
      <c r="AC26" s="58" t="str">
        <f>$A26</f>
        <v>'16 ALLOCATION</v>
      </c>
      <c r="AD26" s="47">
        <v>0</v>
      </c>
      <c r="AE26" s="34">
        <v>422080</v>
      </c>
      <c r="AF26" s="53"/>
      <c r="AG26" s="35">
        <v>78925</v>
      </c>
      <c r="AH26" s="47">
        <v>0</v>
      </c>
      <c r="AI26" s="47">
        <v>0</v>
      </c>
      <c r="AK26" s="58" t="str">
        <f>$A26</f>
        <v>'16 ALLOCATION</v>
      </c>
      <c r="AL26" s="89">
        <f t="shared" ref="AL26:AL38" si="3">SUM(W26,AE26,O26,G26)</f>
        <v>1667412</v>
      </c>
      <c r="AM26" s="89">
        <f t="shared" si="1"/>
        <v>293688</v>
      </c>
    </row>
    <row r="27" spans="1:39" s="33" customFormat="1" ht="13.5">
      <c r="A27" s="46" t="s">
        <v>168</v>
      </c>
      <c r="B27" s="66">
        <v>1667412</v>
      </c>
      <c r="C27" s="66"/>
      <c r="D27" s="66">
        <f>D25+D26</f>
        <v>574778</v>
      </c>
      <c r="E27" s="46" t="s">
        <v>33</v>
      </c>
      <c r="F27" s="47">
        <v>0</v>
      </c>
      <c r="G27" s="51">
        <f>SUM(G25:G26)</f>
        <v>599968.79729999998</v>
      </c>
      <c r="H27" s="51"/>
      <c r="I27" s="51">
        <f>SUM(I25+I26)</f>
        <v>281843</v>
      </c>
      <c r="J27" s="47">
        <v>0</v>
      </c>
      <c r="K27" s="47">
        <v>0</v>
      </c>
      <c r="L27" s="48"/>
      <c r="M27" s="46" t="s">
        <v>33</v>
      </c>
      <c r="N27" s="47">
        <v>0</v>
      </c>
      <c r="O27" s="51">
        <f>SUM(O25:O26)</f>
        <v>111055.42615000001</v>
      </c>
      <c r="P27" s="51"/>
      <c r="Q27" s="51">
        <f>SUM(Q25+Q26)</f>
        <v>201365</v>
      </c>
      <c r="R27" s="47">
        <v>0</v>
      </c>
      <c r="S27" s="47">
        <v>0</v>
      </c>
      <c r="T27" s="48"/>
      <c r="U27" s="46" t="s">
        <v>33</v>
      </c>
      <c r="V27" s="47">
        <v>0</v>
      </c>
      <c r="W27" s="51">
        <f>SUM(W25:W26)</f>
        <v>364407.10859999998</v>
      </c>
      <c r="X27" s="51"/>
      <c r="Y27" s="51">
        <f>SUM(Y25+Y26)</f>
        <v>70423</v>
      </c>
      <c r="Z27" s="47">
        <v>0</v>
      </c>
      <c r="AA27" s="47">
        <v>0</v>
      </c>
      <c r="AB27" s="52"/>
      <c r="AC27" s="46" t="s">
        <v>33</v>
      </c>
      <c r="AD27" s="47">
        <v>0</v>
      </c>
      <c r="AE27" s="51">
        <f>SUM(AE25:AE26)</f>
        <v>727351.42050000001</v>
      </c>
      <c r="AF27" s="51"/>
      <c r="AG27" s="51">
        <f>SUM(AG25+AG26)</f>
        <v>21147</v>
      </c>
      <c r="AH27" s="47">
        <v>0</v>
      </c>
      <c r="AI27" s="47">
        <v>0</v>
      </c>
      <c r="AK27" s="46" t="s">
        <v>33</v>
      </c>
      <c r="AL27" s="89">
        <f t="shared" si="3"/>
        <v>1802782.7525499999</v>
      </c>
      <c r="AM27" s="89">
        <f t="shared" si="1"/>
        <v>574778</v>
      </c>
    </row>
    <row r="28" spans="1:39" s="41" customFormat="1" ht="13.5">
      <c r="A28" s="42"/>
      <c r="B28" s="68">
        <f t="shared" ref="B28:B34" si="4">SUM(G28+O28+W28+AE28)</f>
        <v>473714</v>
      </c>
      <c r="C28" s="68"/>
      <c r="D28" s="67">
        <f t="shared" ref="D28:D34" si="5">SUM(I28+Q28+Y28+AG28)</f>
        <v>101740</v>
      </c>
      <c r="E28" s="42" t="s">
        <v>34</v>
      </c>
      <c r="F28" s="42" t="s">
        <v>20</v>
      </c>
      <c r="G28" s="45">
        <v>0</v>
      </c>
      <c r="H28" s="45"/>
      <c r="I28" s="45"/>
      <c r="J28" s="43"/>
      <c r="K28" s="43">
        <f>SUM(G28:J28)</f>
        <v>0</v>
      </c>
      <c r="L28" s="42"/>
      <c r="M28" s="54" t="s">
        <v>35</v>
      </c>
      <c r="N28" s="55" t="s">
        <v>36</v>
      </c>
      <c r="O28" s="56"/>
      <c r="P28" s="56"/>
      <c r="Q28" s="56"/>
      <c r="R28" s="57">
        <v>533959</v>
      </c>
      <c r="S28" s="57">
        <f>SUM(O28:R28)</f>
        <v>533959</v>
      </c>
      <c r="T28" s="42"/>
      <c r="U28" s="42" t="s">
        <v>37</v>
      </c>
      <c r="V28" s="42" t="s">
        <v>14</v>
      </c>
      <c r="W28" s="43">
        <v>473714</v>
      </c>
      <c r="X28" s="43"/>
      <c r="Y28" s="43">
        <v>101740</v>
      </c>
      <c r="Z28" s="43">
        <v>585808</v>
      </c>
      <c r="AA28" s="43">
        <f>SUM(W28:Z28)</f>
        <v>1161262</v>
      </c>
      <c r="AB28" s="42"/>
      <c r="AC28" s="55" t="s">
        <v>38</v>
      </c>
      <c r="AD28" s="55" t="s">
        <v>15</v>
      </c>
      <c r="AE28" s="57"/>
      <c r="AF28" s="57"/>
      <c r="AG28" s="57"/>
      <c r="AH28" s="57">
        <v>75000</v>
      </c>
      <c r="AI28" s="57">
        <f>SUM(AE28:AH28)</f>
        <v>75000</v>
      </c>
      <c r="AK28" s="42"/>
      <c r="AL28" s="67">
        <f t="shared" si="3"/>
        <v>473714</v>
      </c>
      <c r="AM28" s="67">
        <f t="shared" ref="AM28:AM38" si="6">SUM(Y28,AG28,Q28,I28)</f>
        <v>101740</v>
      </c>
    </row>
    <row r="29" spans="1:39" s="41" customFormat="1" ht="13.5">
      <c r="A29" s="42"/>
      <c r="B29" s="68">
        <f t="shared" si="4"/>
        <v>20000</v>
      </c>
      <c r="C29" s="68"/>
      <c r="D29" s="67">
        <f>SUM(I29+Q29+Y29+AG29)</f>
        <v>0</v>
      </c>
      <c r="E29" s="42" t="s">
        <v>144</v>
      </c>
      <c r="F29" s="42" t="s">
        <v>50</v>
      </c>
      <c r="G29" s="45">
        <v>0</v>
      </c>
      <c r="H29" s="45"/>
      <c r="I29" s="45"/>
      <c r="J29" s="43">
        <v>13750</v>
      </c>
      <c r="K29" s="43">
        <f>SUM(G29:J29)</f>
        <v>13750</v>
      </c>
      <c r="L29" s="42"/>
      <c r="M29" s="42" t="s">
        <v>48</v>
      </c>
      <c r="N29" s="42"/>
      <c r="O29" s="50"/>
      <c r="P29" s="50"/>
      <c r="Q29" s="50"/>
      <c r="R29" s="43"/>
      <c r="S29" s="43">
        <f>SUM(O29:R29)</f>
        <v>0</v>
      </c>
      <c r="T29" s="42"/>
      <c r="U29" s="42" t="s">
        <v>45</v>
      </c>
      <c r="V29" s="42"/>
      <c r="W29" s="43">
        <v>20000</v>
      </c>
      <c r="X29" s="43"/>
      <c r="Y29" s="43"/>
      <c r="Z29" s="43"/>
      <c r="AA29" s="43">
        <f>SUM(W29:Z29)</f>
        <v>20000</v>
      </c>
      <c r="AB29" s="42"/>
      <c r="AC29" s="42" t="s">
        <v>49</v>
      </c>
      <c r="AD29" s="42"/>
      <c r="AE29" s="43"/>
      <c r="AF29" s="43"/>
      <c r="AG29" s="43"/>
      <c r="AH29" s="43"/>
      <c r="AI29" s="43">
        <f>SUM(AE29:AH29)</f>
        <v>0</v>
      </c>
      <c r="AK29" s="42"/>
      <c r="AL29" s="67">
        <f t="shared" si="3"/>
        <v>20000</v>
      </c>
      <c r="AM29" s="67">
        <f>SUM(Y29,AG29,Q29,I29)</f>
        <v>0</v>
      </c>
    </row>
    <row r="30" spans="1:39" s="41" customFormat="1" ht="13.5">
      <c r="A30" s="42"/>
      <c r="B30" s="68">
        <f t="shared" si="4"/>
        <v>1039933</v>
      </c>
      <c r="C30" s="68"/>
      <c r="D30" s="68">
        <f>SUM(I30+Q30+Y30+AG30)</f>
        <v>218418</v>
      </c>
      <c r="E30" s="42" t="s">
        <v>44</v>
      </c>
      <c r="F30" s="42" t="s">
        <v>15</v>
      </c>
      <c r="G30" s="45">
        <f>409315-27168+281843</f>
        <v>663990</v>
      </c>
      <c r="H30" s="45"/>
      <c r="I30" s="45">
        <f>281843-281843</f>
        <v>0</v>
      </c>
      <c r="J30" s="43">
        <v>173500</v>
      </c>
      <c r="K30" s="43">
        <f>SUM(G30:J30)</f>
        <v>837490</v>
      </c>
      <c r="L30" s="42"/>
      <c r="M30" s="42" t="s">
        <v>128</v>
      </c>
      <c r="N30" s="42" t="s">
        <v>127</v>
      </c>
      <c r="O30" s="50">
        <f>52000+45786</f>
        <v>97786</v>
      </c>
      <c r="P30" s="50"/>
      <c r="Q30" s="50"/>
      <c r="R30" s="43"/>
      <c r="S30" s="43">
        <f>SUM(O30:R30)</f>
        <v>97786</v>
      </c>
      <c r="T30" s="42"/>
      <c r="U30" s="42"/>
      <c r="V30" s="42"/>
      <c r="W30" s="43"/>
      <c r="X30" s="43"/>
      <c r="Y30" s="43"/>
      <c r="Z30" s="43"/>
      <c r="AA30" s="43">
        <f>SUM(W30:Z30)</f>
        <v>0</v>
      </c>
      <c r="AB30" s="42"/>
      <c r="AC30" s="42" t="s">
        <v>51</v>
      </c>
      <c r="AD30" s="42" t="s">
        <v>15</v>
      </c>
      <c r="AE30" s="43">
        <f>560000-281843</f>
        <v>278157</v>
      </c>
      <c r="AF30" s="43"/>
      <c r="AG30" s="43">
        <v>218418</v>
      </c>
      <c r="AH30" s="43"/>
      <c r="AI30" s="43">
        <f>SUM(AE30:AH30)</f>
        <v>496575</v>
      </c>
      <c r="AK30" s="42"/>
      <c r="AL30" s="67">
        <f t="shared" si="3"/>
        <v>1039933</v>
      </c>
      <c r="AM30" s="67">
        <f t="shared" si="6"/>
        <v>218418</v>
      </c>
    </row>
    <row r="31" spans="1:39" s="41" customFormat="1" ht="13.5">
      <c r="A31" s="42"/>
      <c r="B31" s="68">
        <f t="shared" si="4"/>
        <v>0</v>
      </c>
      <c r="C31" s="68"/>
      <c r="D31" s="68">
        <f>SUM(I31+Q31+Y31+AG31)</f>
        <v>0</v>
      </c>
      <c r="E31" s="42" t="s">
        <v>148</v>
      </c>
      <c r="F31" s="42" t="s">
        <v>150</v>
      </c>
      <c r="G31" s="45">
        <v>-256680</v>
      </c>
      <c r="H31" s="45"/>
      <c r="I31" s="45">
        <v>256680</v>
      </c>
      <c r="J31" s="43"/>
      <c r="K31" s="43"/>
      <c r="L31" s="42"/>
      <c r="M31" s="42"/>
      <c r="N31" s="42"/>
      <c r="O31" s="50"/>
      <c r="P31" s="50"/>
      <c r="Q31" s="50"/>
      <c r="R31" s="43"/>
      <c r="S31" s="43"/>
      <c r="T31" s="42"/>
      <c r="U31" s="42"/>
      <c r="V31" s="42"/>
      <c r="W31" s="43"/>
      <c r="X31" s="43"/>
      <c r="Y31" s="43"/>
      <c r="Z31" s="43"/>
      <c r="AA31" s="43"/>
      <c r="AB31" s="42"/>
      <c r="AC31" s="42" t="s">
        <v>148</v>
      </c>
      <c r="AD31" s="42" t="s">
        <v>149</v>
      </c>
      <c r="AE31" s="43">
        <v>256680</v>
      </c>
      <c r="AF31" s="43"/>
      <c r="AG31" s="94">
        <v>-256680</v>
      </c>
      <c r="AH31" s="43"/>
      <c r="AI31" s="43"/>
      <c r="AK31" s="42"/>
      <c r="AL31" s="67"/>
      <c r="AM31" s="67"/>
    </row>
    <row r="32" spans="1:39" s="41" customFormat="1" ht="13.5">
      <c r="A32" s="42"/>
      <c r="B32" s="68">
        <f t="shared" si="4"/>
        <v>3000</v>
      </c>
      <c r="C32" s="68"/>
      <c r="D32" s="67">
        <f t="shared" si="5"/>
        <v>63425</v>
      </c>
      <c r="E32" s="42" t="s">
        <v>45</v>
      </c>
      <c r="F32" s="42" t="s">
        <v>140</v>
      </c>
      <c r="G32" s="45">
        <v>3000</v>
      </c>
      <c r="H32" s="45"/>
      <c r="I32" s="45"/>
      <c r="J32" s="43">
        <v>750</v>
      </c>
      <c r="K32" s="43"/>
      <c r="L32" s="42"/>
      <c r="M32" s="42" t="s">
        <v>145</v>
      </c>
      <c r="N32" s="42"/>
      <c r="O32" s="50">
        <v>0</v>
      </c>
      <c r="P32" s="50"/>
      <c r="Q32" s="50"/>
      <c r="R32" s="43"/>
      <c r="S32" s="43"/>
      <c r="T32" s="42"/>
      <c r="U32" s="42"/>
      <c r="V32" s="42"/>
      <c r="W32" s="43"/>
      <c r="X32" s="43"/>
      <c r="Y32" s="43"/>
      <c r="Z32" s="43"/>
      <c r="AA32" s="43"/>
      <c r="AB32" s="42"/>
      <c r="AC32" s="41" t="s">
        <v>169</v>
      </c>
      <c r="AD32" s="42"/>
      <c r="AE32" s="43"/>
      <c r="AF32" s="43"/>
      <c r="AG32" s="43">
        <v>63425</v>
      </c>
      <c r="AH32" s="43">
        <f>560000+47016</f>
        <v>607016</v>
      </c>
      <c r="AI32" s="43">
        <f>SUM(AE32:AH32)</f>
        <v>670441</v>
      </c>
      <c r="AK32" s="42"/>
      <c r="AL32" s="67">
        <f t="shared" si="3"/>
        <v>3000</v>
      </c>
      <c r="AM32" s="67">
        <f t="shared" si="6"/>
        <v>63425</v>
      </c>
    </row>
    <row r="33" spans="1:41" s="41" customFormat="1" ht="13.5">
      <c r="A33" s="42"/>
      <c r="B33" s="68">
        <f t="shared" si="4"/>
        <v>3000</v>
      </c>
      <c r="C33" s="68"/>
      <c r="D33" s="67">
        <f t="shared" si="5"/>
        <v>0</v>
      </c>
      <c r="E33" s="42" t="s">
        <v>45</v>
      </c>
      <c r="F33" s="42" t="s">
        <v>138</v>
      </c>
      <c r="G33" s="45">
        <v>3000</v>
      </c>
      <c r="H33" s="45"/>
      <c r="I33" s="45"/>
      <c r="J33" s="43">
        <v>750</v>
      </c>
      <c r="K33" s="43"/>
      <c r="L33" s="42"/>
      <c r="M33" s="42"/>
      <c r="N33" s="42"/>
      <c r="O33" s="50"/>
      <c r="P33" s="50"/>
      <c r="Q33" s="50"/>
      <c r="R33" s="43"/>
      <c r="S33" s="43"/>
      <c r="T33" s="42"/>
      <c r="U33" s="42"/>
      <c r="V33" s="42"/>
      <c r="W33" s="43"/>
      <c r="X33" s="43"/>
      <c r="Y33" s="43"/>
      <c r="Z33" s="43"/>
      <c r="AA33" s="43"/>
      <c r="AB33" s="42"/>
      <c r="AC33" s="42"/>
      <c r="AD33" s="42"/>
      <c r="AE33" s="43"/>
      <c r="AF33" s="43"/>
      <c r="AG33" s="43"/>
      <c r="AH33" s="43"/>
      <c r="AI33" s="43"/>
      <c r="AK33" s="42"/>
      <c r="AL33" s="67">
        <f t="shared" si="3"/>
        <v>3000</v>
      </c>
      <c r="AM33" s="67">
        <f t="shared" si="6"/>
        <v>0</v>
      </c>
    </row>
    <row r="34" spans="1:41" s="41" customFormat="1" ht="13.5">
      <c r="A34" s="92">
        <f>SUM(B28:B34)</f>
        <v>1592047</v>
      </c>
      <c r="B34" s="68">
        <f t="shared" si="4"/>
        <v>52400</v>
      </c>
      <c r="C34" s="68">
        <f>SUM(H34+P34+X34+AF34)</f>
        <v>1592047</v>
      </c>
      <c r="D34" s="67">
        <f t="shared" si="5"/>
        <v>0</v>
      </c>
      <c r="E34" s="42" t="s">
        <v>136</v>
      </c>
      <c r="F34" s="42" t="s">
        <v>139</v>
      </c>
      <c r="G34" s="45">
        <v>3000</v>
      </c>
      <c r="H34" s="45">
        <f>SUM(G28:G34)</f>
        <v>416310</v>
      </c>
      <c r="I34" s="45"/>
      <c r="J34" s="43">
        <v>750</v>
      </c>
      <c r="K34" s="43">
        <f>SUM(G34:J34)</f>
        <v>420060</v>
      </c>
      <c r="L34" s="42"/>
      <c r="M34" s="42"/>
      <c r="N34" s="42"/>
      <c r="O34" s="50"/>
      <c r="P34" s="45">
        <f>SUM(O28:O34)</f>
        <v>97786</v>
      </c>
      <c r="Q34" s="50"/>
      <c r="R34" s="43"/>
      <c r="S34" s="43">
        <f>SUM(O34:R34)</f>
        <v>97786</v>
      </c>
      <c r="T34" s="42"/>
      <c r="U34" s="42"/>
      <c r="V34" s="42"/>
      <c r="W34" s="43"/>
      <c r="X34" s="45">
        <f>SUM(W28:W34)</f>
        <v>493714</v>
      </c>
      <c r="Y34" s="43"/>
      <c r="Z34" s="43"/>
      <c r="AA34" s="43">
        <f>SUM(W34:Z34)</f>
        <v>493714</v>
      </c>
      <c r="AB34" s="42"/>
      <c r="AC34" s="42" t="s">
        <v>45</v>
      </c>
      <c r="AD34" s="42" t="s">
        <v>137</v>
      </c>
      <c r="AE34" s="43">
        <v>49400</v>
      </c>
      <c r="AF34" s="45">
        <f>SUM(AE28:AE34)</f>
        <v>584237</v>
      </c>
      <c r="AG34" s="43"/>
      <c r="AH34" s="43">
        <v>8750</v>
      </c>
      <c r="AI34" s="43">
        <f>AE34+AH34</f>
        <v>58150</v>
      </c>
      <c r="AK34" s="42"/>
      <c r="AL34" s="67">
        <f t="shared" si="3"/>
        <v>52400</v>
      </c>
      <c r="AM34" s="67">
        <f t="shared" si="6"/>
        <v>0</v>
      </c>
    </row>
    <row r="35" spans="1:41" s="78" customFormat="1" ht="13.5">
      <c r="A35" s="70" t="s">
        <v>111</v>
      </c>
      <c r="B35" s="71">
        <f>B27-SUM(B28:B34)</f>
        <v>75365</v>
      </c>
      <c r="C35" s="71"/>
      <c r="D35" s="71">
        <f>D27-SUM(D28:D34)</f>
        <v>191195</v>
      </c>
      <c r="E35" s="84" t="s">
        <v>111</v>
      </c>
      <c r="F35" s="80">
        <v>0</v>
      </c>
      <c r="G35" s="82">
        <f>SUM(G27-(SUM(G28:G34)))</f>
        <v>183658.79729999998</v>
      </c>
      <c r="H35" s="82"/>
      <c r="I35" s="82">
        <f>SUM(I27-(SUM(I28:I34)))</f>
        <v>25163</v>
      </c>
      <c r="J35" s="80">
        <v>0</v>
      </c>
      <c r="K35" s="80">
        <v>0</v>
      </c>
      <c r="L35" s="81"/>
      <c r="M35" s="70" t="s">
        <v>111</v>
      </c>
      <c r="N35" s="80">
        <v>0</v>
      </c>
      <c r="O35" s="82">
        <f>SUM(O27-(SUM(O28:O34)))</f>
        <v>13269.426150000014</v>
      </c>
      <c r="P35" s="82"/>
      <c r="Q35" s="82">
        <f>SUM(Q27-(SUM(Q28:Q34)))</f>
        <v>201365</v>
      </c>
      <c r="R35" s="80">
        <v>0</v>
      </c>
      <c r="S35" s="80">
        <v>0</v>
      </c>
      <c r="T35" s="81"/>
      <c r="U35" s="84" t="s">
        <v>39</v>
      </c>
      <c r="V35" s="80">
        <v>0</v>
      </c>
      <c r="W35" s="82">
        <f>SUM(W27-(SUM(W28:W34)))</f>
        <v>-129306.89140000002</v>
      </c>
      <c r="X35" s="82"/>
      <c r="Y35" s="82">
        <f>SUM(Y27-(SUM(Y28:Y34)))</f>
        <v>-31317</v>
      </c>
      <c r="Z35" s="80">
        <v>0</v>
      </c>
      <c r="AA35" s="80">
        <v>0</v>
      </c>
      <c r="AB35" s="83"/>
      <c r="AC35" s="84" t="s">
        <v>39</v>
      </c>
      <c r="AD35" s="80">
        <v>0</v>
      </c>
      <c r="AE35" s="82">
        <f>SUM(AE27-(SUM(AE28:AE34)))</f>
        <v>143114.42050000001</v>
      </c>
      <c r="AF35" s="82"/>
      <c r="AG35" s="82">
        <f>SUM(AG27-(SUM(AG28:AG34)))</f>
        <v>-4016</v>
      </c>
      <c r="AH35" s="80">
        <v>0</v>
      </c>
      <c r="AI35" s="95" t="s">
        <v>57</v>
      </c>
      <c r="AK35" s="70" t="s">
        <v>111</v>
      </c>
      <c r="AL35" s="91">
        <f t="shared" si="3"/>
        <v>210735.75254999998</v>
      </c>
      <c r="AM35" s="91">
        <f>SUM(Y35,AG35,Q35,I35)</f>
        <v>191195</v>
      </c>
    </row>
    <row r="36" spans="1:41" s="78" customFormat="1" ht="13.5">
      <c r="A36" s="70" t="s">
        <v>112</v>
      </c>
      <c r="B36" s="71">
        <f>SUM(G36+O36+W36+AE36)</f>
        <v>210735.75254999998</v>
      </c>
      <c r="C36" s="71"/>
      <c r="D36" s="71">
        <f>SUM(I36+Q36+Y36+AG36)</f>
        <v>232158</v>
      </c>
      <c r="E36" s="70" t="s">
        <v>112</v>
      </c>
      <c r="F36" s="80"/>
      <c r="G36" s="82">
        <f>G35</f>
        <v>183658.79729999998</v>
      </c>
      <c r="H36" s="82"/>
      <c r="I36" s="82">
        <f>289974-281843</f>
        <v>8131</v>
      </c>
      <c r="J36" s="80"/>
      <c r="K36" s="80"/>
      <c r="L36" s="81"/>
      <c r="M36" s="70" t="s">
        <v>112</v>
      </c>
      <c r="N36" s="80"/>
      <c r="O36" s="73">
        <f>O35</f>
        <v>13269.426150000014</v>
      </c>
      <c r="P36" s="82"/>
      <c r="Q36" s="82">
        <v>207020</v>
      </c>
      <c r="R36" s="80"/>
      <c r="S36" s="80"/>
      <c r="T36" s="81"/>
      <c r="U36" s="84"/>
      <c r="V36" s="80"/>
      <c r="W36" s="73">
        <f>W35</f>
        <v>-129306.89140000002</v>
      </c>
      <c r="X36" s="82"/>
      <c r="Y36" s="82">
        <v>-25460</v>
      </c>
      <c r="Z36" s="80"/>
      <c r="AA36" s="80"/>
      <c r="AB36" s="83"/>
      <c r="AC36" s="84"/>
      <c r="AD36" s="80"/>
      <c r="AE36" s="82">
        <f>AE35</f>
        <v>143114.42050000001</v>
      </c>
      <c r="AF36" s="82"/>
      <c r="AG36" s="82">
        <f>281843-239376</f>
        <v>42467</v>
      </c>
      <c r="AH36" s="80"/>
      <c r="AI36" s="80"/>
      <c r="AK36" s="70" t="s">
        <v>112</v>
      </c>
      <c r="AL36" s="71"/>
      <c r="AM36" s="91">
        <f t="shared" si="6"/>
        <v>232158</v>
      </c>
    </row>
    <row r="37" spans="1:41" s="33" customFormat="1" ht="13.5">
      <c r="A37" s="58" t="s">
        <v>181</v>
      </c>
      <c r="B37" s="66">
        <v>1783236</v>
      </c>
      <c r="C37" s="66"/>
      <c r="D37" s="66">
        <f>SUM(I37+Q37+Y37+AG37)</f>
        <v>239104</v>
      </c>
      <c r="E37" s="58" t="str">
        <f>$A37</f>
        <v>'17 ALLOCATION</v>
      </c>
      <c r="F37" s="47">
        <v>0</v>
      </c>
      <c r="G37" s="34">
        <v>470363</v>
      </c>
      <c r="H37" s="53"/>
      <c r="I37" s="34">
        <v>58692</v>
      </c>
      <c r="J37" s="47">
        <v>0</v>
      </c>
      <c r="K37" s="47">
        <v>0</v>
      </c>
      <c r="L37" s="48"/>
      <c r="M37" s="58" t="str">
        <f>$A37</f>
        <v>'17 ALLOCATION</v>
      </c>
      <c r="N37" s="47">
        <v>0</v>
      </c>
      <c r="O37" s="34">
        <v>392177</v>
      </c>
      <c r="P37" s="53"/>
      <c r="Q37" s="34">
        <v>51451</v>
      </c>
      <c r="R37" s="47">
        <v>0</v>
      </c>
      <c r="S37" s="47">
        <v>0</v>
      </c>
      <c r="T37" s="48"/>
      <c r="U37" s="58" t="str">
        <f>$A37</f>
        <v>'17 ALLOCATION</v>
      </c>
      <c r="V37" s="47">
        <v>0</v>
      </c>
      <c r="W37" s="34">
        <v>469913</v>
      </c>
      <c r="X37" s="53"/>
      <c r="Y37" s="35">
        <v>64705</v>
      </c>
      <c r="Z37" s="47">
        <v>0</v>
      </c>
      <c r="AA37" s="47">
        <v>0</v>
      </c>
      <c r="AB37" s="52"/>
      <c r="AC37" s="58" t="str">
        <f>$A37</f>
        <v>'17 ALLOCATION</v>
      </c>
      <c r="AD37" s="47">
        <v>0</v>
      </c>
      <c r="AE37" s="34">
        <v>450783</v>
      </c>
      <c r="AF37" s="53"/>
      <c r="AG37" s="35">
        <v>64256</v>
      </c>
      <c r="AH37" s="47">
        <v>0</v>
      </c>
      <c r="AI37" s="47">
        <v>0</v>
      </c>
      <c r="AK37" s="58" t="str">
        <f>$A37</f>
        <v>'17 ALLOCATION</v>
      </c>
      <c r="AL37" s="89">
        <f t="shared" si="3"/>
        <v>1783236</v>
      </c>
      <c r="AM37" s="89">
        <f t="shared" si="6"/>
        <v>239104</v>
      </c>
    </row>
    <row r="38" spans="1:41" s="33" customFormat="1" ht="13.5">
      <c r="A38" s="58" t="s">
        <v>40</v>
      </c>
      <c r="B38" s="66">
        <f>SUM(G38+O38+W38+AE38)</f>
        <v>1993971.7525499999</v>
      </c>
      <c r="C38" s="66"/>
      <c r="D38" s="66">
        <f>D36+D37</f>
        <v>471262</v>
      </c>
      <c r="E38" s="58" t="s">
        <v>40</v>
      </c>
      <c r="F38" s="47">
        <v>0</v>
      </c>
      <c r="G38" s="51">
        <f>SUM(G36:G37)</f>
        <v>654021.79729999998</v>
      </c>
      <c r="H38" s="51"/>
      <c r="I38" s="51">
        <f>SUM(I36+I37)</f>
        <v>66823</v>
      </c>
      <c r="J38" s="47">
        <v>0</v>
      </c>
      <c r="K38" s="47">
        <v>0</v>
      </c>
      <c r="L38" s="48"/>
      <c r="M38" s="58" t="s">
        <v>40</v>
      </c>
      <c r="N38" s="47">
        <v>0</v>
      </c>
      <c r="O38" s="51">
        <f>SUM(O36:O37)</f>
        <v>405446.42615000001</v>
      </c>
      <c r="P38" s="51"/>
      <c r="Q38" s="51">
        <f>SUM(Q36+Q37)</f>
        <v>258471</v>
      </c>
      <c r="R38" s="47">
        <v>0</v>
      </c>
      <c r="S38" s="47">
        <v>0</v>
      </c>
      <c r="T38" s="48"/>
      <c r="U38" s="58" t="s">
        <v>40</v>
      </c>
      <c r="V38" s="47">
        <v>0</v>
      </c>
      <c r="W38" s="51">
        <f>SUM(W36:W37)</f>
        <v>340606.10859999998</v>
      </c>
      <c r="X38" s="51"/>
      <c r="Y38" s="51">
        <f>SUM(Y36+Y37)</f>
        <v>39245</v>
      </c>
      <c r="Z38" s="47">
        <v>0</v>
      </c>
      <c r="AA38" s="47">
        <v>0</v>
      </c>
      <c r="AB38" s="52"/>
      <c r="AC38" s="58" t="s">
        <v>40</v>
      </c>
      <c r="AD38" s="47">
        <v>0</v>
      </c>
      <c r="AE38" s="51">
        <f>SUM(AE36:AE37)</f>
        <v>593897.42050000001</v>
      </c>
      <c r="AF38" s="51"/>
      <c r="AG38" s="51">
        <f>SUM(AG36+AG37)</f>
        <v>106723</v>
      </c>
      <c r="AH38" s="47">
        <v>0</v>
      </c>
      <c r="AI38" s="47">
        <v>0</v>
      </c>
      <c r="AK38" s="58" t="s">
        <v>40</v>
      </c>
      <c r="AL38" s="89">
        <f t="shared" si="3"/>
        <v>1993971.7525499999</v>
      </c>
      <c r="AM38" s="89">
        <f t="shared" si="6"/>
        <v>471262</v>
      </c>
    </row>
    <row r="39" spans="1:41" s="41" customFormat="1" ht="13.5">
      <c r="A39" s="59"/>
      <c r="B39" s="68">
        <f t="shared" ref="B39:B44" si="7">SUM(G39+O39+W39+AE39)</f>
        <v>815221</v>
      </c>
      <c r="C39" s="68"/>
      <c r="D39" s="67">
        <f t="shared" ref="D39:D44" si="8">SUM(I39+Q39+Y39+AG39)</f>
        <v>61250</v>
      </c>
      <c r="E39" s="42" t="s">
        <v>131</v>
      </c>
      <c r="F39" s="42" t="s">
        <v>132</v>
      </c>
      <c r="G39" s="45">
        <v>245000</v>
      </c>
      <c r="H39" s="45"/>
      <c r="I39" s="45">
        <v>61250</v>
      </c>
      <c r="J39" s="43"/>
      <c r="K39" s="43">
        <f>SUM(G39:J39)</f>
        <v>306250</v>
      </c>
      <c r="L39" s="60"/>
      <c r="M39" s="42" t="s">
        <v>145</v>
      </c>
      <c r="N39" s="62"/>
      <c r="O39" s="50">
        <v>110221</v>
      </c>
      <c r="P39" s="50"/>
      <c r="Q39" s="50"/>
      <c r="R39" s="43"/>
      <c r="S39" s="43">
        <f>SUM(O39:R39)</f>
        <v>110221</v>
      </c>
      <c r="T39" s="60"/>
      <c r="U39" s="61" t="s">
        <v>142</v>
      </c>
      <c r="V39" s="62"/>
      <c r="W39" s="43">
        <v>140000</v>
      </c>
      <c r="X39" s="43"/>
      <c r="Y39" s="43"/>
      <c r="Z39" s="43"/>
      <c r="AA39" s="43">
        <f>SUM(W39:Z39)</f>
        <v>140000</v>
      </c>
      <c r="AB39" s="42"/>
      <c r="AC39" s="42" t="s">
        <v>147</v>
      </c>
      <c r="AD39" s="63"/>
      <c r="AE39" s="43">
        <f>320000</f>
        <v>320000</v>
      </c>
      <c r="AF39" s="43"/>
      <c r="AG39" s="43"/>
      <c r="AH39" s="43">
        <v>80000</v>
      </c>
      <c r="AI39" s="43">
        <f>SUM(AE39:AH39)</f>
        <v>400000</v>
      </c>
      <c r="AK39" s="59"/>
      <c r="AL39" s="67">
        <f t="shared" ref="AL39:AL45" si="9">SUM(W39,AE39,O39,G39)</f>
        <v>815221</v>
      </c>
      <c r="AM39" s="67">
        <f t="shared" ref="AM39:AM48" si="10">SUM(Y39,AG39,Q39,I39)</f>
        <v>61250</v>
      </c>
    </row>
    <row r="40" spans="1:41" s="41" customFormat="1" ht="13.5">
      <c r="A40" s="59"/>
      <c r="B40" s="68">
        <f t="shared" si="7"/>
        <v>447000</v>
      </c>
      <c r="C40" s="68"/>
      <c r="D40" s="67">
        <f t="shared" si="8"/>
        <v>0</v>
      </c>
      <c r="E40" s="61" t="s">
        <v>45</v>
      </c>
      <c r="F40" s="63" t="s">
        <v>50</v>
      </c>
      <c r="G40" s="45">
        <v>94000</v>
      </c>
      <c r="H40" s="45"/>
      <c r="I40" s="45"/>
      <c r="J40" s="43">
        <v>23500</v>
      </c>
      <c r="K40" s="43">
        <f>SUM(G40:J40)</f>
        <v>117500</v>
      </c>
      <c r="L40" s="60"/>
      <c r="M40" s="61" t="s">
        <v>45</v>
      </c>
      <c r="N40" s="63" t="s">
        <v>52</v>
      </c>
      <c r="O40" s="50">
        <v>76000</v>
      </c>
      <c r="P40" s="50"/>
      <c r="Q40" s="50"/>
      <c r="R40" s="43">
        <v>19000</v>
      </c>
      <c r="S40" s="43">
        <f>SUM(O40:R40)</f>
        <v>95000</v>
      </c>
      <c r="T40" s="60"/>
      <c r="U40" s="59" t="s">
        <v>183</v>
      </c>
      <c r="V40" s="62" t="s">
        <v>183</v>
      </c>
      <c r="W40" s="43">
        <v>-43000</v>
      </c>
      <c r="X40" s="43"/>
      <c r="Y40" s="43"/>
      <c r="Z40" s="43"/>
      <c r="AA40" s="43">
        <f>SUM(W40:Z40)</f>
        <v>-43000</v>
      </c>
      <c r="AB40" s="42"/>
      <c r="AC40" s="42" t="s">
        <v>156</v>
      </c>
      <c r="AD40" s="63" t="s">
        <v>157</v>
      </c>
      <c r="AE40" s="43">
        <v>320000</v>
      </c>
      <c r="AF40" s="43"/>
      <c r="AG40" s="43"/>
      <c r="AH40" s="43">
        <v>86154</v>
      </c>
      <c r="AI40" s="43">
        <f>SUM(AE40:AH40)</f>
        <v>406154</v>
      </c>
      <c r="AK40" s="59"/>
      <c r="AL40" s="67">
        <f t="shared" si="9"/>
        <v>447000</v>
      </c>
      <c r="AM40" s="67">
        <f t="shared" si="10"/>
        <v>0</v>
      </c>
    </row>
    <row r="41" spans="1:41" s="41" customFormat="1" ht="13.5">
      <c r="A41" s="59"/>
      <c r="B41" s="68">
        <f t="shared" si="7"/>
        <v>-9000</v>
      </c>
      <c r="C41" s="68"/>
      <c r="D41" s="67">
        <f t="shared" si="8"/>
        <v>0</v>
      </c>
      <c r="E41" s="61" t="s">
        <v>45</v>
      </c>
      <c r="F41" s="63" t="s">
        <v>179</v>
      </c>
      <c r="G41" s="45">
        <v>20000</v>
      </c>
      <c r="H41" s="45"/>
      <c r="I41" s="45"/>
      <c r="J41" s="43">
        <v>5000</v>
      </c>
      <c r="K41" s="43">
        <f>SUM(G41:J41)</f>
        <v>25000</v>
      </c>
      <c r="L41" s="60"/>
      <c r="M41" s="61" t="s">
        <v>45</v>
      </c>
      <c r="N41" s="63" t="s">
        <v>141</v>
      </c>
      <c r="O41" s="50">
        <v>30000</v>
      </c>
      <c r="P41" s="50"/>
      <c r="Q41" s="50"/>
      <c r="R41" s="43">
        <v>7500</v>
      </c>
      <c r="S41" s="43">
        <f>SUM(O41:R41)</f>
        <v>37500</v>
      </c>
      <c r="T41" s="60"/>
      <c r="U41" s="59"/>
      <c r="V41" s="62"/>
      <c r="W41" s="43"/>
      <c r="X41" s="43"/>
      <c r="Y41" s="43"/>
      <c r="Z41" s="43"/>
      <c r="AA41" s="43">
        <f>SUM(W41:Z41)</f>
        <v>0</v>
      </c>
      <c r="AB41" s="42"/>
      <c r="AC41" s="42" t="s">
        <v>184</v>
      </c>
      <c r="AD41" s="63" t="s">
        <v>183</v>
      </c>
      <c r="AE41" s="43">
        <v>-59000</v>
      </c>
      <c r="AF41" s="43"/>
      <c r="AG41" s="43"/>
      <c r="AH41" s="43"/>
      <c r="AI41" s="43">
        <f>SUM(AE41:AH41)</f>
        <v>-59000</v>
      </c>
      <c r="AK41" s="59"/>
      <c r="AL41" s="67">
        <f t="shared" si="9"/>
        <v>-9000</v>
      </c>
      <c r="AM41" s="67">
        <f t="shared" si="10"/>
        <v>0</v>
      </c>
    </row>
    <row r="42" spans="1:41" s="41" customFormat="1" ht="13.5">
      <c r="A42" s="64"/>
      <c r="B42" s="68">
        <f t="shared" si="7"/>
        <v>307400</v>
      </c>
      <c r="C42" s="68"/>
      <c r="D42" s="67">
        <f t="shared" si="8"/>
        <v>0</v>
      </c>
      <c r="E42" s="65" t="s">
        <v>142</v>
      </c>
      <c r="F42" s="65"/>
      <c r="G42" s="45">
        <v>127000</v>
      </c>
      <c r="H42" s="45"/>
      <c r="I42" s="45"/>
      <c r="J42" s="43"/>
      <c r="K42" s="43">
        <f>SUM(G42:J42)</f>
        <v>127000</v>
      </c>
      <c r="L42" s="60"/>
      <c r="M42" s="65" t="s">
        <v>136</v>
      </c>
      <c r="N42" s="65"/>
      <c r="O42" s="50">
        <v>78400</v>
      </c>
      <c r="P42" s="50"/>
      <c r="Q42" s="50"/>
      <c r="R42" s="43">
        <v>19600</v>
      </c>
      <c r="S42" s="43">
        <f>SUM(O42:R42)</f>
        <v>98000</v>
      </c>
      <c r="T42" s="60"/>
      <c r="U42" s="64"/>
      <c r="V42" s="64"/>
      <c r="W42" s="43"/>
      <c r="X42" s="43"/>
      <c r="Y42" s="43"/>
      <c r="Z42" s="43"/>
      <c r="AA42" s="43">
        <f>SUM(W42:Z42)</f>
        <v>0</v>
      </c>
      <c r="AB42" s="42"/>
      <c r="AC42" s="42" t="s">
        <v>186</v>
      </c>
      <c r="AD42" s="42" t="s">
        <v>52</v>
      </c>
      <c r="AE42" s="43">
        <v>102000</v>
      </c>
      <c r="AF42" s="43"/>
      <c r="AG42" s="43"/>
      <c r="AH42" s="43"/>
      <c r="AI42" s="43">
        <f>SUM(AE42:AH42)</f>
        <v>102000</v>
      </c>
      <c r="AK42" s="64"/>
      <c r="AL42" s="67">
        <f t="shared" si="9"/>
        <v>307400</v>
      </c>
      <c r="AM42" s="67">
        <f t="shared" si="10"/>
        <v>0</v>
      </c>
    </row>
    <row r="43" spans="1:41" s="41" customFormat="1" ht="13.5">
      <c r="A43" s="36"/>
      <c r="B43" s="67">
        <f t="shared" si="7"/>
        <v>115000</v>
      </c>
      <c r="C43" s="67"/>
      <c r="D43" s="67">
        <f t="shared" si="8"/>
        <v>28750</v>
      </c>
      <c r="E43" s="36" t="s">
        <v>133</v>
      </c>
      <c r="F43" s="36" t="s">
        <v>132</v>
      </c>
      <c r="G43" s="37">
        <v>115000</v>
      </c>
      <c r="H43" s="37"/>
      <c r="I43" s="37">
        <v>28750</v>
      </c>
      <c r="J43" s="38">
        <v>0</v>
      </c>
      <c r="K43" s="38">
        <f>SUM(G43:J43)</f>
        <v>143750</v>
      </c>
      <c r="L43" s="36"/>
      <c r="M43" s="36"/>
      <c r="N43" s="36"/>
      <c r="O43" s="40"/>
      <c r="P43" s="40"/>
      <c r="Q43" s="40"/>
      <c r="R43" s="38"/>
      <c r="S43" s="38">
        <f>SUM(O43:R43)</f>
        <v>0</v>
      </c>
      <c r="T43" s="36"/>
      <c r="U43" s="36"/>
      <c r="V43" s="36"/>
      <c r="W43" s="38"/>
      <c r="X43" s="38"/>
      <c r="Y43" s="38"/>
      <c r="Z43" s="38"/>
      <c r="AA43" s="38">
        <f>SUM(W43:Z43)</f>
        <v>0</v>
      </c>
      <c r="AB43" s="36"/>
      <c r="AC43" s="36"/>
      <c r="AD43" s="36"/>
      <c r="AE43" s="38"/>
      <c r="AF43" s="38"/>
      <c r="AG43" s="38"/>
      <c r="AH43" s="38"/>
      <c r="AI43" s="38">
        <f>SUM(AE43:AH43)</f>
        <v>0</v>
      </c>
      <c r="AK43" s="36"/>
      <c r="AL43" s="67">
        <f t="shared" si="9"/>
        <v>115000</v>
      </c>
      <c r="AM43" s="67">
        <f t="shared" si="10"/>
        <v>28750</v>
      </c>
    </row>
    <row r="44" spans="1:41" s="41" customFormat="1" ht="13.5">
      <c r="A44" s="92">
        <f>SUM(B39:B44)</f>
        <v>1783236</v>
      </c>
      <c r="B44" s="67">
        <f t="shared" si="7"/>
        <v>107615</v>
      </c>
      <c r="C44" s="68">
        <f>SUM(H44+P44+X44+AF44)</f>
        <v>1783236</v>
      </c>
      <c r="D44" s="67">
        <f t="shared" si="8"/>
        <v>27400</v>
      </c>
      <c r="E44" s="100" t="s">
        <v>176</v>
      </c>
      <c r="F44" s="100"/>
      <c r="G44" s="37">
        <v>107615</v>
      </c>
      <c r="H44" s="45">
        <f>SUM(G39:G44)</f>
        <v>708615</v>
      </c>
      <c r="I44" s="37">
        <v>27400</v>
      </c>
      <c r="J44" s="38"/>
      <c r="K44" s="38">
        <f>+G44+I44</f>
        <v>135015</v>
      </c>
      <c r="L44" s="36"/>
      <c r="M44" s="36"/>
      <c r="N44" s="36"/>
      <c r="O44" s="40"/>
      <c r="P44" s="45">
        <f>SUM(O39:O44)</f>
        <v>294621</v>
      </c>
      <c r="Q44" s="40"/>
      <c r="R44" s="38"/>
      <c r="S44" s="38"/>
      <c r="T44" s="36"/>
      <c r="U44" s="36"/>
      <c r="V44" s="36"/>
      <c r="W44" s="38"/>
      <c r="X44" s="45">
        <f>SUM(W39:W44)</f>
        <v>97000</v>
      </c>
      <c r="Y44" s="38"/>
      <c r="Z44" s="38"/>
      <c r="AA44" s="38"/>
      <c r="AB44" s="36"/>
      <c r="AC44" s="36"/>
      <c r="AD44" s="36"/>
      <c r="AE44" s="38"/>
      <c r="AF44" s="45">
        <f>SUM(AE39:AE44)</f>
        <v>683000</v>
      </c>
      <c r="AG44" s="38"/>
      <c r="AH44" s="38"/>
      <c r="AI44" s="38"/>
      <c r="AK44" s="36"/>
      <c r="AL44" s="67">
        <f t="shared" si="9"/>
        <v>107615</v>
      </c>
      <c r="AM44" s="67">
        <f t="shared" si="10"/>
        <v>27400</v>
      </c>
    </row>
    <row r="45" spans="1:41" s="78" customFormat="1" ht="13.5">
      <c r="A45" s="70" t="s">
        <v>115</v>
      </c>
      <c r="B45" s="71">
        <f>B37-SUM(B39:B44)</f>
        <v>0</v>
      </c>
      <c r="C45" s="71"/>
      <c r="D45" s="71">
        <f>D38-SUM(D39:D44)</f>
        <v>353862</v>
      </c>
      <c r="E45" s="85" t="s">
        <v>115</v>
      </c>
      <c r="F45" s="72">
        <v>0</v>
      </c>
      <c r="G45" s="86">
        <f>SUM(G38-(SUM(G39:G44)))</f>
        <v>-54593.202700000023</v>
      </c>
      <c r="H45" s="86"/>
      <c r="I45" s="86">
        <f>SUM(I38-(SUM(I39:I44)))</f>
        <v>-50577</v>
      </c>
      <c r="J45" s="72">
        <v>0</v>
      </c>
      <c r="K45" s="72">
        <v>0</v>
      </c>
      <c r="L45" s="87"/>
      <c r="M45" s="85" t="s">
        <v>115</v>
      </c>
      <c r="N45" s="72">
        <v>0</v>
      </c>
      <c r="O45" s="86">
        <f>SUM(O38-(SUM(O39:O44)))</f>
        <v>110825.42615000001</v>
      </c>
      <c r="P45" s="86"/>
      <c r="Q45" s="86">
        <f>SUM(Q38-(SUM(Q39:Q44)))</f>
        <v>258471</v>
      </c>
      <c r="R45" s="72">
        <v>0</v>
      </c>
      <c r="S45" s="72">
        <v>0</v>
      </c>
      <c r="T45" s="87"/>
      <c r="U45" s="85" t="s">
        <v>42</v>
      </c>
      <c r="V45" s="72">
        <v>0</v>
      </c>
      <c r="W45" s="86">
        <f>SUM(W38-(SUM(W39:W44)))</f>
        <v>243606.10859999998</v>
      </c>
      <c r="X45" s="86"/>
      <c r="Y45" s="86">
        <f>SUM(Y38-(SUM(Y39:Y44)))</f>
        <v>39245</v>
      </c>
      <c r="Z45" s="72">
        <v>0</v>
      </c>
      <c r="AA45" s="72">
        <v>0</v>
      </c>
      <c r="AB45" s="87"/>
      <c r="AC45" s="85" t="s">
        <v>42</v>
      </c>
      <c r="AD45" s="72">
        <v>0</v>
      </c>
      <c r="AE45" s="86">
        <f>SUM(AE38-(SUM(AE39:AE44)))</f>
        <v>-89102.579499999993</v>
      </c>
      <c r="AF45" s="86"/>
      <c r="AG45" s="86">
        <f>SUM(AG38-(SUM(AG39:AG44)))</f>
        <v>106723</v>
      </c>
      <c r="AH45" s="72">
        <v>0</v>
      </c>
      <c r="AI45" s="72">
        <v>0</v>
      </c>
      <c r="AK45" s="85" t="s">
        <v>115</v>
      </c>
      <c r="AL45" s="91">
        <f t="shared" si="9"/>
        <v>210735.75254999998</v>
      </c>
      <c r="AM45" s="91">
        <f t="shared" si="10"/>
        <v>353862</v>
      </c>
    </row>
    <row r="46" spans="1:41" s="78" customFormat="1" ht="13.5">
      <c r="A46" s="70" t="s">
        <v>119</v>
      </c>
      <c r="B46" s="71">
        <f>SUM(G46+O46+W46+AE46)</f>
        <v>210735.75254999998</v>
      </c>
      <c r="C46" s="71"/>
      <c r="D46" s="71">
        <f>103188.37+276282.71+61564.45</f>
        <v>441035.53</v>
      </c>
      <c r="E46" s="70" t="s">
        <v>119</v>
      </c>
      <c r="F46" s="72">
        <v>0</v>
      </c>
      <c r="G46" s="73">
        <f>G45</f>
        <v>-54593.202700000023</v>
      </c>
      <c r="H46" s="74"/>
      <c r="I46" s="73">
        <v>-3534.63</v>
      </c>
      <c r="J46" s="72"/>
      <c r="K46" s="72"/>
      <c r="L46" s="75"/>
      <c r="M46" s="70" t="s">
        <v>119</v>
      </c>
      <c r="N46" s="72">
        <v>0</v>
      </c>
      <c r="O46" s="73">
        <f>O45</f>
        <v>110825.42615000001</v>
      </c>
      <c r="P46" s="74"/>
      <c r="Q46" s="73">
        <v>276282.71000000002</v>
      </c>
      <c r="R46" s="72">
        <v>0</v>
      </c>
      <c r="S46" s="72">
        <v>0</v>
      </c>
      <c r="T46" s="75"/>
      <c r="U46" s="70" t="s">
        <v>119</v>
      </c>
      <c r="V46" s="72">
        <v>0</v>
      </c>
      <c r="W46" s="73">
        <f>W45</f>
        <v>243606.10859999998</v>
      </c>
      <c r="X46" s="74"/>
      <c r="Y46" s="73">
        <v>61564.45</v>
      </c>
      <c r="Z46" s="72">
        <v>0</v>
      </c>
      <c r="AA46" s="72">
        <v>0</v>
      </c>
      <c r="AB46" s="77"/>
      <c r="AC46" s="70" t="s">
        <v>119</v>
      </c>
      <c r="AD46" s="72">
        <v>0</v>
      </c>
      <c r="AE46" s="73">
        <f>AE45</f>
        <v>-89102.579499999993</v>
      </c>
      <c r="AF46" s="74"/>
      <c r="AG46" s="73">
        <f>AG45</f>
        <v>106723</v>
      </c>
      <c r="AH46" s="72">
        <v>0</v>
      </c>
      <c r="AI46" s="72">
        <v>0</v>
      </c>
      <c r="AK46" s="70" t="s">
        <v>119</v>
      </c>
      <c r="AL46" s="71"/>
      <c r="AM46" s="91">
        <f t="shared" si="10"/>
        <v>441035.53</v>
      </c>
      <c r="AN46" s="102"/>
      <c r="AO46" s="102"/>
    </row>
    <row r="47" spans="1:41" s="33" customFormat="1" ht="13.5">
      <c r="A47" s="25" t="s">
        <v>188</v>
      </c>
      <c r="B47" s="66">
        <v>1842707</v>
      </c>
      <c r="C47" s="66"/>
      <c r="D47" s="66">
        <v>270698.39</v>
      </c>
      <c r="E47" s="58" t="str">
        <f t="shared" ref="E47:E48" si="11">$A47</f>
        <v>'18 ALLOCATION</v>
      </c>
      <c r="F47" s="26">
        <v>0</v>
      </c>
      <c r="G47" s="34">
        <v>486400</v>
      </c>
      <c r="H47" s="28"/>
      <c r="I47" s="34">
        <v>66447.05</v>
      </c>
      <c r="J47" s="26"/>
      <c r="K47" s="26"/>
      <c r="L47" s="29"/>
      <c r="M47" s="58" t="str">
        <f t="shared" ref="M47:M48" si="12">$A47</f>
        <v>'18 ALLOCATION</v>
      </c>
      <c r="N47" s="26">
        <v>0</v>
      </c>
      <c r="O47" s="34">
        <v>405340</v>
      </c>
      <c r="P47" s="28"/>
      <c r="Q47" s="34">
        <v>58249.71</v>
      </c>
      <c r="R47" s="26">
        <v>0</v>
      </c>
      <c r="S47" s="26">
        <v>0</v>
      </c>
      <c r="T47" s="29"/>
      <c r="U47" s="58" t="str">
        <f t="shared" ref="U47:U48" si="13">$A47</f>
        <v>'18 ALLOCATION</v>
      </c>
      <c r="V47" s="26">
        <v>0</v>
      </c>
      <c r="W47" s="34">
        <v>485477</v>
      </c>
      <c r="X47" s="28"/>
      <c r="Y47" s="35">
        <v>73255.009999999995</v>
      </c>
      <c r="Z47" s="26">
        <v>0</v>
      </c>
      <c r="AA47" s="26">
        <v>0</v>
      </c>
      <c r="AB47" s="32"/>
      <c r="AC47" s="58" t="str">
        <f t="shared" ref="AC47:AC48" si="14">$A47</f>
        <v>'18 ALLOCATION</v>
      </c>
      <c r="AD47" s="26">
        <v>0</v>
      </c>
      <c r="AE47" s="34">
        <v>465490</v>
      </c>
      <c r="AF47" s="28"/>
      <c r="AG47" s="35">
        <v>72746.62</v>
      </c>
      <c r="AH47" s="26">
        <v>0</v>
      </c>
      <c r="AI47" s="26">
        <v>0</v>
      </c>
      <c r="AK47" s="58" t="str">
        <f>$A47</f>
        <v>'18 ALLOCATION</v>
      </c>
      <c r="AL47" s="89">
        <f>SUM(W47,AE47,O47,G47)</f>
        <v>1842707</v>
      </c>
      <c r="AM47" s="89">
        <f t="shared" si="10"/>
        <v>270698.39</v>
      </c>
    </row>
    <row r="48" spans="1:41" s="33" customFormat="1" ht="13.5">
      <c r="A48" s="25" t="s">
        <v>121</v>
      </c>
      <c r="B48" s="66">
        <f>SUM(G48+O48+W48+AE48)</f>
        <v>2053442.7525499999</v>
      </c>
      <c r="C48" s="66"/>
      <c r="D48" s="66">
        <f>D46+D47</f>
        <v>711733.92</v>
      </c>
      <c r="E48" s="58" t="str">
        <f t="shared" si="11"/>
        <v>'18 BEG BAL</v>
      </c>
      <c r="F48" s="26">
        <v>0</v>
      </c>
      <c r="G48" s="27">
        <f>SUM(G46:G47)</f>
        <v>431806.79729999998</v>
      </c>
      <c r="H48" s="28"/>
      <c r="I48" s="27">
        <f>SUM(I46+I47)</f>
        <v>62912.420000000006</v>
      </c>
      <c r="J48" s="26"/>
      <c r="K48" s="26"/>
      <c r="L48" s="29"/>
      <c r="M48" s="58" t="str">
        <f t="shared" si="12"/>
        <v>'18 BEG BAL</v>
      </c>
      <c r="N48" s="26">
        <v>0</v>
      </c>
      <c r="O48" s="27">
        <f>SUM(O46:O47)</f>
        <v>516165.42615000001</v>
      </c>
      <c r="P48" s="28"/>
      <c r="Q48" s="27">
        <f>SUM(Q46+Q47)</f>
        <v>334532.42000000004</v>
      </c>
      <c r="R48" s="26">
        <v>0</v>
      </c>
      <c r="S48" s="26">
        <v>0</v>
      </c>
      <c r="T48" s="29"/>
      <c r="U48" s="58" t="str">
        <f t="shared" si="13"/>
        <v>'18 BEG BAL</v>
      </c>
      <c r="V48" s="26">
        <v>0</v>
      </c>
      <c r="W48" s="27">
        <f>SUM(W46:W47)</f>
        <v>729083.10859999992</v>
      </c>
      <c r="X48" s="28"/>
      <c r="Y48" s="27">
        <f>SUM(Y46+Y47)</f>
        <v>134819.46</v>
      </c>
      <c r="Z48" s="26">
        <v>0</v>
      </c>
      <c r="AA48" s="26">
        <v>0</v>
      </c>
      <c r="AB48" s="32"/>
      <c r="AC48" s="58" t="str">
        <f t="shared" si="14"/>
        <v>'18 BEG BAL</v>
      </c>
      <c r="AD48" s="26">
        <v>0</v>
      </c>
      <c r="AE48" s="27">
        <f>SUM(AE46:AE47)</f>
        <v>376387.42050000001</v>
      </c>
      <c r="AF48" s="28"/>
      <c r="AG48" s="27">
        <f>SUM(AG46+AG47)</f>
        <v>179469.62</v>
      </c>
      <c r="AH48" s="26">
        <v>0</v>
      </c>
      <c r="AI48" s="26">
        <v>0</v>
      </c>
      <c r="AK48" s="25" t="s">
        <v>121</v>
      </c>
      <c r="AL48" s="66">
        <f>AL47</f>
        <v>1842707</v>
      </c>
      <c r="AM48" s="89">
        <f t="shared" si="10"/>
        <v>711733.92</v>
      </c>
    </row>
    <row r="49" spans="1:40" s="41" customFormat="1" ht="13.5">
      <c r="A49" s="36"/>
      <c r="B49" s="67">
        <f>SUM(G49+O49+W49+AE49)</f>
        <v>868083</v>
      </c>
      <c r="C49" s="67"/>
      <c r="D49" s="67">
        <f>SUM(I49+Q49+Y49+AG49)</f>
        <v>234819.46</v>
      </c>
      <c r="E49" s="55" t="s">
        <v>77</v>
      </c>
      <c r="F49" s="55" t="s">
        <v>20</v>
      </c>
      <c r="G49" s="97">
        <v>0</v>
      </c>
      <c r="H49" s="98"/>
      <c r="I49" s="98"/>
      <c r="J49" s="99"/>
      <c r="K49" s="99">
        <f>SUM(G49:J49)</f>
        <v>0</v>
      </c>
      <c r="L49" s="36"/>
      <c r="M49" s="36" t="s">
        <v>159</v>
      </c>
      <c r="N49" s="39" t="s">
        <v>158</v>
      </c>
      <c r="O49" s="37">
        <v>150000</v>
      </c>
      <c r="P49" s="37"/>
      <c r="Q49" s="37">
        <v>100000</v>
      </c>
      <c r="R49" s="38"/>
      <c r="S49" s="38">
        <f>SUM(O49:R49)</f>
        <v>250000</v>
      </c>
      <c r="T49" s="36"/>
      <c r="U49" s="61" t="s">
        <v>41</v>
      </c>
      <c r="V49" s="62"/>
      <c r="W49" s="43">
        <f>500000+43000+186083-11000</f>
        <v>718083</v>
      </c>
      <c r="X49" s="43"/>
      <c r="Y49" s="43">
        <v>134819.46</v>
      </c>
      <c r="Z49" s="43">
        <v>91151</v>
      </c>
      <c r="AA49" s="38">
        <f>SUM(W49:Z49)</f>
        <v>944053.46</v>
      </c>
      <c r="AB49" s="36"/>
      <c r="AC49" s="61" t="s">
        <v>185</v>
      </c>
      <c r="AD49" s="63" t="s">
        <v>137</v>
      </c>
      <c r="AE49" s="43">
        <v>0</v>
      </c>
      <c r="AF49" s="43"/>
      <c r="AG49" s="43"/>
      <c r="AH49" s="43">
        <v>25000</v>
      </c>
      <c r="AI49" s="38">
        <f>SUM(AE49:AH49)</f>
        <v>25000</v>
      </c>
      <c r="AK49" s="36"/>
      <c r="AL49" s="67">
        <f t="shared" ref="AL49:AL54" si="15">SUM(W49,AE49,O49,G49)</f>
        <v>868083</v>
      </c>
      <c r="AM49" s="67">
        <f t="shared" ref="AM49:AM57" si="16">SUM(Y49,AG49,Q49,I49)</f>
        <v>234819.46</v>
      </c>
    </row>
    <row r="50" spans="1:40" s="41" customFormat="1" ht="13.5">
      <c r="A50" s="36"/>
      <c r="B50" s="67">
        <f>SUM(G50+O50+W50+AE50)</f>
        <v>684000</v>
      </c>
      <c r="C50" s="67"/>
      <c r="D50" s="67">
        <f>SUM(I50+Q50+Y50+AG50)</f>
        <v>200000</v>
      </c>
      <c r="E50" s="36" t="s">
        <v>177</v>
      </c>
      <c r="F50" s="36" t="s">
        <v>178</v>
      </c>
      <c r="G50" s="37">
        <v>400000</v>
      </c>
      <c r="H50" s="37"/>
      <c r="I50" s="37">
        <v>100000</v>
      </c>
      <c r="J50" s="38"/>
      <c r="K50" s="38">
        <f>SUM(G50:J50)</f>
        <v>500000</v>
      </c>
      <c r="L50" s="36"/>
      <c r="M50" s="36" t="s">
        <v>160</v>
      </c>
      <c r="N50" s="36"/>
      <c r="O50" s="37">
        <v>125000</v>
      </c>
      <c r="P50" s="37"/>
      <c r="Q50" s="37">
        <v>100000</v>
      </c>
      <c r="R50" s="38"/>
      <c r="S50" s="38">
        <f>SUM(O50:R50)</f>
        <v>225000</v>
      </c>
      <c r="T50" s="36"/>
      <c r="U50" s="61" t="s">
        <v>187</v>
      </c>
      <c r="V50" s="62"/>
      <c r="W50" s="43"/>
      <c r="X50" s="43"/>
      <c r="Y50" s="43"/>
      <c r="Z50" s="43"/>
      <c r="AA50" s="38">
        <f>SUM(W50:Z50)</f>
        <v>0</v>
      </c>
      <c r="AB50" s="36"/>
      <c r="AC50" s="61" t="s">
        <v>182</v>
      </c>
      <c r="AD50" s="63" t="s">
        <v>162</v>
      </c>
      <c r="AE50" s="43">
        <v>159000</v>
      </c>
      <c r="AF50" s="43"/>
      <c r="AG50" s="43"/>
      <c r="AH50" s="43">
        <v>150000</v>
      </c>
      <c r="AI50" s="38">
        <f>SUM(AE50:AH50)</f>
        <v>309000</v>
      </c>
      <c r="AK50" s="36"/>
      <c r="AL50" s="67">
        <f t="shared" si="15"/>
        <v>684000</v>
      </c>
      <c r="AM50" s="67">
        <f t="shared" si="16"/>
        <v>200000</v>
      </c>
    </row>
    <row r="51" spans="1:40" s="41" customFormat="1" ht="13.5">
      <c r="A51" s="36"/>
      <c r="B51" s="67">
        <f>SUM(G51+O51+W51+AE51)</f>
        <v>290624</v>
      </c>
      <c r="C51" s="67"/>
      <c r="D51" s="67">
        <f>SUM(I51+Q51+Y51+AG51)</f>
        <v>100000</v>
      </c>
      <c r="E51" s="36" t="s">
        <v>136</v>
      </c>
      <c r="F51" s="36" t="s">
        <v>196</v>
      </c>
      <c r="G51" s="37">
        <v>60000</v>
      </c>
      <c r="H51" s="37"/>
      <c r="I51" s="37"/>
      <c r="J51" s="38">
        <v>15000</v>
      </c>
      <c r="K51" s="38">
        <f>SUM(G51:J51)</f>
        <v>75000</v>
      </c>
      <c r="L51" s="36"/>
      <c r="M51" s="36" t="s">
        <v>161</v>
      </c>
      <c r="N51" s="36" t="s">
        <v>158</v>
      </c>
      <c r="O51" s="37">
        <f>89000+37298+114867-10541</f>
        <v>230624</v>
      </c>
      <c r="P51" s="37"/>
      <c r="Q51" s="37">
        <v>100000</v>
      </c>
      <c r="R51" s="38">
        <f>642803-104327</f>
        <v>538476</v>
      </c>
      <c r="S51" s="38">
        <f>SUM(O51:R51)</f>
        <v>869100</v>
      </c>
      <c r="T51" s="36"/>
      <c r="U51" s="36"/>
      <c r="V51" s="36"/>
      <c r="W51" s="37"/>
      <c r="X51" s="37"/>
      <c r="Y51" s="37"/>
      <c r="Z51" s="38"/>
      <c r="AA51" s="38">
        <f>SUM(W51:Z51)</f>
        <v>0</v>
      </c>
      <c r="AB51" s="36"/>
      <c r="AC51" s="36"/>
      <c r="AD51" s="36"/>
      <c r="AE51" s="37"/>
      <c r="AF51" s="37"/>
      <c r="AG51" s="37"/>
      <c r="AH51" s="38"/>
      <c r="AI51" s="38">
        <f>SUM(AE51:AH51)</f>
        <v>0</v>
      </c>
      <c r="AK51" s="36"/>
      <c r="AL51" s="67">
        <f t="shared" si="15"/>
        <v>290624</v>
      </c>
      <c r="AM51" s="67">
        <f t="shared" si="16"/>
        <v>100000</v>
      </c>
    </row>
    <row r="52" spans="1:40" s="41" customFormat="1" ht="13.5">
      <c r="A52" s="36"/>
      <c r="B52" s="67"/>
      <c r="C52" s="67"/>
      <c r="D52" s="67">
        <f>SUM(I52+Q52+Y52+AG52)</f>
        <v>0</v>
      </c>
      <c r="E52" s="36" t="s">
        <v>195</v>
      </c>
      <c r="F52" s="36"/>
      <c r="G52" s="37">
        <f>($AN63*G4)</f>
        <v>55572.094817999998</v>
      </c>
      <c r="H52" s="37"/>
      <c r="I52" s="37"/>
      <c r="J52" s="38"/>
      <c r="K52" s="38">
        <f>SUM(G52:J52)</f>
        <v>55572.094817999998</v>
      </c>
      <c r="L52" s="36"/>
      <c r="M52" s="36" t="s">
        <v>195</v>
      </c>
      <c r="N52" s="36"/>
      <c r="O52" s="37">
        <f>($AN63*O4)</f>
        <v>46345.490559000005</v>
      </c>
      <c r="P52" s="37"/>
      <c r="Q52" s="37"/>
      <c r="R52" s="38"/>
      <c r="S52" s="38">
        <f>SUM(O52:R52)</f>
        <v>46345.490559000005</v>
      </c>
      <c r="T52" s="36"/>
      <c r="U52" s="36" t="s">
        <v>195</v>
      </c>
      <c r="V52" s="36"/>
      <c r="W52" s="37">
        <f>($AN63*W4)</f>
        <v>55556.496875999997</v>
      </c>
      <c r="X52" s="37"/>
      <c r="Y52" s="37"/>
      <c r="Z52" s="38"/>
      <c r="AA52" s="38">
        <f>SUM(W52:Z52)</f>
        <v>55556.496875999997</v>
      </c>
      <c r="AB52" s="36"/>
      <c r="AC52" s="36" t="s">
        <v>195</v>
      </c>
      <c r="AD52" s="36"/>
      <c r="AE52" s="37">
        <f>($AN63*AE4)</f>
        <v>53309.128530000002</v>
      </c>
      <c r="AF52" s="37"/>
      <c r="AG52" s="37"/>
      <c r="AH52" s="38"/>
      <c r="AI52" s="38">
        <f>SUM(AE52:AH52)</f>
        <v>53309.128530000002</v>
      </c>
      <c r="AK52" s="36"/>
      <c r="AL52" s="67">
        <f t="shared" si="15"/>
        <v>210783.21078299999</v>
      </c>
      <c r="AM52" s="67">
        <f t="shared" si="16"/>
        <v>0</v>
      </c>
    </row>
    <row r="53" spans="1:40" s="41" customFormat="1" ht="13.5">
      <c r="A53" s="92">
        <f>SUM(B49:B53)</f>
        <v>1842707</v>
      </c>
      <c r="B53" s="67"/>
      <c r="C53" s="68">
        <f>SUM(H53+P53+X53+AF53)</f>
        <v>2053490.2107830001</v>
      </c>
      <c r="D53" s="67"/>
      <c r="E53" s="36"/>
      <c r="F53" s="36"/>
      <c r="G53" s="37" t="s">
        <v>194</v>
      </c>
      <c r="H53" s="45">
        <f>SUM(G49:G53)</f>
        <v>515572.09481799998</v>
      </c>
      <c r="I53" s="37"/>
      <c r="J53" s="38"/>
      <c r="K53" s="38"/>
      <c r="L53" s="36"/>
      <c r="M53" s="36"/>
      <c r="N53" s="36"/>
      <c r="O53" s="37"/>
      <c r="P53" s="45">
        <f>SUM(O49:O53)</f>
        <v>551969.49055900006</v>
      </c>
      <c r="Q53" s="37"/>
      <c r="R53" s="38"/>
      <c r="S53" s="38"/>
      <c r="T53" s="36"/>
      <c r="U53" s="36"/>
      <c r="V53" s="36"/>
      <c r="W53" s="37"/>
      <c r="X53" s="45">
        <f>SUM(W49:W53)</f>
        <v>773639.49687599996</v>
      </c>
      <c r="Y53" s="37"/>
      <c r="Z53" s="38"/>
      <c r="AA53" s="38"/>
      <c r="AB53" s="36"/>
      <c r="AC53" s="36"/>
      <c r="AD53" s="36"/>
      <c r="AE53" s="37"/>
      <c r="AF53" s="45">
        <f>SUM(AE49:AE53)</f>
        <v>212309.12852999999</v>
      </c>
      <c r="AG53" s="37"/>
      <c r="AH53" s="38"/>
      <c r="AI53" s="38"/>
      <c r="AK53" s="36"/>
      <c r="AL53" s="67">
        <f t="shared" si="15"/>
        <v>0</v>
      </c>
      <c r="AM53" s="67">
        <f t="shared" si="16"/>
        <v>0</v>
      </c>
    </row>
    <row r="54" spans="1:40" s="78" customFormat="1" ht="13.5">
      <c r="A54" s="70" t="s">
        <v>122</v>
      </c>
      <c r="B54" s="71">
        <f>+B47-SUM(B49:B53)</f>
        <v>0</v>
      </c>
      <c r="C54" s="71"/>
      <c r="D54" s="71">
        <f>D48-SUM(D49:D53)</f>
        <v>176914.46000000008</v>
      </c>
      <c r="E54" s="70" t="str">
        <f>$A54</f>
        <v>'18 CALC END BAL</v>
      </c>
      <c r="F54" s="72">
        <v>0</v>
      </c>
      <c r="G54" s="86">
        <f>SUM(G48-(SUM(G49:G53)))</f>
        <v>-83765.297518000007</v>
      </c>
      <c r="H54" s="73"/>
      <c r="I54" s="86">
        <f>SUM(I48-(SUM(I49:I53)))</f>
        <v>-37087.579999999994</v>
      </c>
      <c r="J54" s="72"/>
      <c r="K54" s="72"/>
      <c r="L54" s="75"/>
      <c r="M54" s="70" t="str">
        <f t="shared" ref="M54:M55" si="17">$A54</f>
        <v>'18 CALC END BAL</v>
      </c>
      <c r="N54" s="72">
        <v>0</v>
      </c>
      <c r="O54" s="86">
        <f>SUM(O48-(SUM(O49:O53)))</f>
        <v>-35804.064409000042</v>
      </c>
      <c r="P54" s="73"/>
      <c r="Q54" s="86">
        <f>SUM(Q48-(SUM(Q49:Q53)))</f>
        <v>34532.420000000042</v>
      </c>
      <c r="R54" s="72">
        <v>0</v>
      </c>
      <c r="S54" s="72">
        <v>0</v>
      </c>
      <c r="T54" s="75"/>
      <c r="U54" s="70" t="str">
        <f t="shared" ref="U54:U55" si="18">$A54</f>
        <v>'18 CALC END BAL</v>
      </c>
      <c r="V54" s="72">
        <v>0</v>
      </c>
      <c r="W54" s="86">
        <f>SUM(W48-(SUM(W49:W53)))</f>
        <v>-44556.388276000042</v>
      </c>
      <c r="X54" s="73"/>
      <c r="Y54" s="86">
        <f>SUM(Y48-(SUM(Y49:Y53)))</f>
        <v>0</v>
      </c>
      <c r="Z54" s="72">
        <v>0</v>
      </c>
      <c r="AA54" s="72">
        <v>0</v>
      </c>
      <c r="AB54" s="77"/>
      <c r="AC54" s="70" t="str">
        <f t="shared" ref="AC54:AC55" si="19">$A54</f>
        <v>'18 CALC END BAL</v>
      </c>
      <c r="AD54" s="72">
        <v>0</v>
      </c>
      <c r="AE54" s="86">
        <f>SUM(AE48-(SUM(AE49:AE53)))</f>
        <v>164078.29197000002</v>
      </c>
      <c r="AF54" s="73"/>
      <c r="AG54" s="86">
        <f>SUM(AG48-(SUM(AG49:AG53)))</f>
        <v>179469.62</v>
      </c>
      <c r="AH54" s="72">
        <v>0</v>
      </c>
      <c r="AI54" s="72">
        <v>0</v>
      </c>
      <c r="AK54" s="70" t="str">
        <f t="shared" ref="AK54:AK55" si="20">$A54</f>
        <v>'18 CALC END BAL</v>
      </c>
      <c r="AL54" s="91">
        <f t="shared" si="15"/>
        <v>-47.458233000070322</v>
      </c>
      <c r="AM54" s="91">
        <f t="shared" si="16"/>
        <v>176914.46000000005</v>
      </c>
    </row>
    <row r="55" spans="1:40" s="78" customFormat="1" ht="13.5">
      <c r="A55" s="70" t="s">
        <v>120</v>
      </c>
      <c r="B55" s="71">
        <v>0</v>
      </c>
      <c r="C55" s="71"/>
      <c r="D55" s="71">
        <f>SUM(I55+Q55+Y55+AG55)</f>
        <v>176914.46000000005</v>
      </c>
      <c r="E55" s="70" t="str">
        <f>$A55</f>
        <v>'18 ADJ END BAL</v>
      </c>
      <c r="F55" s="72">
        <v>0</v>
      </c>
      <c r="G55" s="73">
        <f>G54</f>
        <v>-83765.297518000007</v>
      </c>
      <c r="H55" s="74"/>
      <c r="I55" s="73">
        <f>I54</f>
        <v>-37087.579999999994</v>
      </c>
      <c r="J55" s="72"/>
      <c r="K55" s="72"/>
      <c r="L55" s="75"/>
      <c r="M55" s="70" t="str">
        <f t="shared" si="17"/>
        <v>'18 ADJ END BAL</v>
      </c>
      <c r="N55" s="72">
        <v>0</v>
      </c>
      <c r="O55" s="73">
        <f>O54</f>
        <v>-35804.064409000042</v>
      </c>
      <c r="P55" s="74"/>
      <c r="Q55" s="73">
        <f>Q54</f>
        <v>34532.420000000042</v>
      </c>
      <c r="R55" s="72">
        <v>0</v>
      </c>
      <c r="S55" s="72">
        <v>0</v>
      </c>
      <c r="T55" s="75"/>
      <c r="U55" s="70" t="str">
        <f t="shared" si="18"/>
        <v>'18 ADJ END BAL</v>
      </c>
      <c r="V55" s="72">
        <v>0</v>
      </c>
      <c r="W55" s="73">
        <f>W54</f>
        <v>-44556.388276000042</v>
      </c>
      <c r="X55" s="74"/>
      <c r="Y55" s="73">
        <f>Y54</f>
        <v>0</v>
      </c>
      <c r="Z55" s="72">
        <v>0</v>
      </c>
      <c r="AA55" s="72">
        <v>0</v>
      </c>
      <c r="AB55" s="77"/>
      <c r="AC55" s="70" t="str">
        <f t="shared" si="19"/>
        <v>'18 ADJ END BAL</v>
      </c>
      <c r="AD55" s="72">
        <v>0</v>
      </c>
      <c r="AE55" s="73">
        <f>AE54</f>
        <v>164078.29197000002</v>
      </c>
      <c r="AF55" s="74"/>
      <c r="AG55" s="73">
        <f>AG54</f>
        <v>179469.62</v>
      </c>
      <c r="AH55" s="72">
        <v>0</v>
      </c>
      <c r="AI55" s="72">
        <v>0</v>
      </c>
      <c r="AK55" s="70" t="str">
        <f t="shared" si="20"/>
        <v>'18 ADJ END BAL</v>
      </c>
      <c r="AL55" s="71"/>
      <c r="AM55" s="91">
        <f t="shared" si="16"/>
        <v>176914.46000000005</v>
      </c>
    </row>
    <row r="56" spans="1:40" s="33" customFormat="1" ht="13.5">
      <c r="A56" s="25" t="s">
        <v>123</v>
      </c>
      <c r="B56" s="66">
        <v>1903900</v>
      </c>
      <c r="C56" s="66"/>
      <c r="D56" s="66">
        <v>270698</v>
      </c>
      <c r="E56" s="58" t="str">
        <f t="shared" ref="E56:E57" si="21">$A56</f>
        <v>'19 TARGET</v>
      </c>
      <c r="F56" s="26">
        <v>0</v>
      </c>
      <c r="G56" s="34">
        <v>502914</v>
      </c>
      <c r="H56" s="28"/>
      <c r="I56" s="34">
        <v>290930</v>
      </c>
      <c r="J56" s="26"/>
      <c r="K56" s="26"/>
      <c r="L56" s="29"/>
      <c r="M56" s="58" t="str">
        <f t="shared" ref="M56:M57" si="22">$A56</f>
        <v>'19 TARGET</v>
      </c>
      <c r="N56" s="26">
        <v>0</v>
      </c>
      <c r="O56" s="34">
        <v>418894</v>
      </c>
      <c r="P56" s="28"/>
      <c r="Q56" s="34">
        <v>155601</v>
      </c>
      <c r="R56" s="26">
        <v>0</v>
      </c>
      <c r="S56" s="26">
        <v>0</v>
      </c>
      <c r="T56" s="29"/>
      <c r="U56" s="58" t="str">
        <f t="shared" ref="U56:U57" si="23">$A56</f>
        <v>'19 TARGET</v>
      </c>
      <c r="V56" s="26">
        <v>0</v>
      </c>
      <c r="W56" s="34">
        <f>501459-82003</f>
        <v>419456</v>
      </c>
      <c r="X56" s="28"/>
      <c r="Y56" s="35">
        <v>68342</v>
      </c>
      <c r="Z56" s="26">
        <v>0</v>
      </c>
      <c r="AA56" s="26">
        <v>0</v>
      </c>
      <c r="AB56" s="32"/>
      <c r="AC56" s="58" t="str">
        <f t="shared" ref="AC56:AC57" si="24">$A56</f>
        <v>'19 TARGET</v>
      </c>
      <c r="AD56" s="26">
        <v>0</v>
      </c>
      <c r="AE56" s="34">
        <f>480633+82003</f>
        <v>562636</v>
      </c>
      <c r="AF56" s="28"/>
      <c r="AG56" s="35">
        <v>11172</v>
      </c>
      <c r="AH56" s="26">
        <v>0</v>
      </c>
      <c r="AI56" s="26">
        <v>0</v>
      </c>
      <c r="AK56" s="58" t="str">
        <f>$A56</f>
        <v>'19 TARGET</v>
      </c>
      <c r="AL56" s="89">
        <f>SUM(W56,AE56,O56,G56)</f>
        <v>1903900</v>
      </c>
      <c r="AM56" s="89">
        <f t="shared" si="16"/>
        <v>526045</v>
      </c>
    </row>
    <row r="57" spans="1:40" s="33" customFormat="1" ht="13.5">
      <c r="A57" s="25" t="s">
        <v>124</v>
      </c>
      <c r="B57" s="66">
        <f t="shared" ref="B57:B62" si="25">SUM(G57+O57+W57+AE57)</f>
        <v>1903852.5417669998</v>
      </c>
      <c r="C57" s="66"/>
      <c r="D57" s="66">
        <f>D55+D56</f>
        <v>447612.46000000008</v>
      </c>
      <c r="E57" s="58" t="str">
        <f t="shared" si="21"/>
        <v>'19 BEG BAL</v>
      </c>
      <c r="F57" s="26">
        <v>0</v>
      </c>
      <c r="G57" s="27">
        <f>SUM(G55:G56)</f>
        <v>419148.70248199999</v>
      </c>
      <c r="H57" s="28"/>
      <c r="I57" s="27">
        <f>SUM(I55+I56)</f>
        <v>253842.42</v>
      </c>
      <c r="J57" s="26"/>
      <c r="K57" s="96"/>
      <c r="L57" s="29"/>
      <c r="M57" s="58" t="str">
        <f t="shared" si="22"/>
        <v>'19 BEG BAL</v>
      </c>
      <c r="N57" s="26">
        <v>0</v>
      </c>
      <c r="O57" s="27">
        <f>SUM(O55:O56)</f>
        <v>383089.93559099996</v>
      </c>
      <c r="P57" s="28"/>
      <c r="Q57" s="27">
        <f>SUM(Q55+Q56)</f>
        <v>190133.42000000004</v>
      </c>
      <c r="R57" s="26">
        <v>0</v>
      </c>
      <c r="S57" s="26">
        <v>0</v>
      </c>
      <c r="T57" s="29"/>
      <c r="U57" s="58" t="str">
        <f t="shared" si="23"/>
        <v>'19 BEG BAL</v>
      </c>
      <c r="V57" s="26">
        <v>0</v>
      </c>
      <c r="W57" s="27">
        <f>SUM(W55:W56)</f>
        <v>374899.61172399996</v>
      </c>
      <c r="X57" s="28"/>
      <c r="Y57" s="27">
        <f>SUM(Y55+Y56)</f>
        <v>68342</v>
      </c>
      <c r="Z57" s="26">
        <v>0</v>
      </c>
      <c r="AA57" s="26">
        <v>0</v>
      </c>
      <c r="AB57" s="32"/>
      <c r="AC57" s="58" t="str">
        <f t="shared" si="24"/>
        <v>'19 BEG BAL</v>
      </c>
      <c r="AD57" s="26">
        <v>0</v>
      </c>
      <c r="AE57" s="27">
        <f>SUM(AE55:AE56)</f>
        <v>726714.29197000002</v>
      </c>
      <c r="AF57" s="28"/>
      <c r="AG57" s="27">
        <f>SUM(AG55+AG56)</f>
        <v>190641.62</v>
      </c>
      <c r="AH57" s="26">
        <v>0</v>
      </c>
      <c r="AI57" s="26">
        <v>0</v>
      </c>
      <c r="AK57" s="25" t="s">
        <v>124</v>
      </c>
      <c r="AL57" s="66">
        <f>AL56</f>
        <v>1903900</v>
      </c>
      <c r="AM57" s="89">
        <f t="shared" si="16"/>
        <v>702959.46000000008</v>
      </c>
    </row>
    <row r="58" spans="1:40" s="41" customFormat="1" ht="13.5">
      <c r="A58" s="36"/>
      <c r="B58" s="67">
        <f t="shared" si="25"/>
        <v>1362742</v>
      </c>
      <c r="C58" s="67"/>
      <c r="D58" s="67">
        <f>SUM(I58+Q58+Y58+AG58)</f>
        <v>260531</v>
      </c>
      <c r="E58" s="65" t="s">
        <v>142</v>
      </c>
      <c r="F58" s="65"/>
      <c r="G58" s="45">
        <v>138000</v>
      </c>
      <c r="H58" s="45"/>
      <c r="I58" s="45"/>
      <c r="J58" s="43"/>
      <c r="K58" s="43">
        <f>SUM(G58:J58)</f>
        <v>138000</v>
      </c>
      <c r="L58" s="36"/>
      <c r="M58" s="36" t="s">
        <v>163</v>
      </c>
      <c r="N58" s="39" t="s">
        <v>134</v>
      </c>
      <c r="O58" s="37">
        <f>100000+34461</f>
        <v>134461</v>
      </c>
      <c r="P58" s="37"/>
      <c r="Q58" s="37">
        <v>100000</v>
      </c>
      <c r="R58" s="38"/>
      <c r="S58" s="38">
        <f>SUM(O58:R58)</f>
        <v>234461</v>
      </c>
      <c r="T58" s="36"/>
      <c r="U58" s="104" t="s">
        <v>216</v>
      </c>
      <c r="V58" s="38" t="s">
        <v>14</v>
      </c>
      <c r="W58" s="37">
        <v>363567</v>
      </c>
      <c r="X58" s="37"/>
      <c r="Y58" s="37">
        <v>160531</v>
      </c>
      <c r="Z58" s="38">
        <v>84225</v>
      </c>
      <c r="AA58" s="38">
        <f>SUM(W58:Z58)</f>
        <v>608323</v>
      </c>
      <c r="AB58" s="36"/>
      <c r="AC58" s="36" t="s">
        <v>239</v>
      </c>
      <c r="AD58" s="38" t="s">
        <v>165</v>
      </c>
      <c r="AE58" s="37">
        <v>726714</v>
      </c>
      <c r="AF58" s="37"/>
      <c r="AG58" s="37">
        <v>0</v>
      </c>
      <c r="AH58" s="38">
        <v>181678</v>
      </c>
      <c r="AI58" s="38">
        <f>SUM(AE58:AH58)</f>
        <v>908392</v>
      </c>
      <c r="AK58" s="36"/>
      <c r="AL58" s="67">
        <f t="shared" ref="AL58:AL63" si="26">SUM(W58,AE58,O58,G58)</f>
        <v>1362742</v>
      </c>
      <c r="AM58" s="67">
        <f t="shared" ref="AM58:AM64" si="27">SUM(Y58,AG58,Q58,I58)</f>
        <v>260531</v>
      </c>
      <c r="AN58" s="103" t="s">
        <v>217</v>
      </c>
    </row>
    <row r="59" spans="1:40" s="41" customFormat="1" ht="13.5">
      <c r="A59" s="36"/>
      <c r="B59" s="67">
        <f t="shared" si="25"/>
        <v>302320</v>
      </c>
      <c r="C59" s="67"/>
      <c r="D59" s="67">
        <f>SUM(I59+Q59+Y59+AG59)</f>
        <v>40000</v>
      </c>
      <c r="E59" s="36" t="s">
        <v>45</v>
      </c>
      <c r="F59" s="36" t="s">
        <v>52</v>
      </c>
      <c r="G59" s="37">
        <v>60000</v>
      </c>
      <c r="H59" s="37"/>
      <c r="I59" s="37"/>
      <c r="J59" s="38">
        <v>15000</v>
      </c>
      <c r="K59" s="38">
        <f>SUM(G59:J59)</f>
        <v>75000</v>
      </c>
      <c r="L59" s="36"/>
      <c r="M59" s="36" t="s">
        <v>164</v>
      </c>
      <c r="N59" s="36" t="s">
        <v>158</v>
      </c>
      <c r="O59" s="37">
        <v>211000</v>
      </c>
      <c r="P59" s="37"/>
      <c r="Q59" s="37">
        <v>40000</v>
      </c>
      <c r="R59" s="38">
        <v>8000</v>
      </c>
      <c r="S59" s="38">
        <f>SUM(O59:R59)</f>
        <v>259000</v>
      </c>
      <c r="T59" s="36"/>
      <c r="U59" s="104" t="s">
        <v>218</v>
      </c>
      <c r="V59" s="36" t="s">
        <v>231</v>
      </c>
      <c r="W59" s="37">
        <v>31320</v>
      </c>
      <c r="X59" s="37"/>
      <c r="Y59" s="37"/>
      <c r="Z59" s="38">
        <v>7830</v>
      </c>
      <c r="AA59" s="38">
        <f>SUM(W59:Z59)</f>
        <v>39150</v>
      </c>
      <c r="AB59" s="36"/>
      <c r="AC59" s="36"/>
      <c r="AD59" s="36"/>
      <c r="AE59" s="37"/>
      <c r="AF59" s="37"/>
      <c r="AG59" s="37"/>
      <c r="AH59" s="38"/>
      <c r="AI59" s="38">
        <f>SUM(AE59:AH59)</f>
        <v>0</v>
      </c>
      <c r="AK59" s="36"/>
      <c r="AL59" s="67">
        <f t="shared" si="26"/>
        <v>302320</v>
      </c>
      <c r="AM59" s="67">
        <f t="shared" si="27"/>
        <v>40000</v>
      </c>
    </row>
    <row r="60" spans="1:40" s="41" customFormat="1" ht="13.5">
      <c r="A60" s="36"/>
      <c r="B60" s="67">
        <f t="shared" si="25"/>
        <v>44000</v>
      </c>
      <c r="C60" s="67"/>
      <c r="D60" s="67">
        <f>SUM(I60+Q60+Y60+AG60)</f>
        <v>0</v>
      </c>
      <c r="E60" s="65" t="s">
        <v>45</v>
      </c>
      <c r="F60" s="65" t="s">
        <v>138</v>
      </c>
      <c r="G60" s="45">
        <v>12000</v>
      </c>
      <c r="H60" s="37"/>
      <c r="I60" s="37"/>
      <c r="J60" s="38"/>
      <c r="K60" s="38">
        <f>SUM(G60:J60)</f>
        <v>12000</v>
      </c>
      <c r="L60" s="36"/>
      <c r="M60" s="36" t="s">
        <v>238</v>
      </c>
      <c r="N60" s="36"/>
      <c r="O60" s="37">
        <v>32000</v>
      </c>
      <c r="P60" s="37"/>
      <c r="Q60" s="37"/>
      <c r="R60" s="38"/>
      <c r="S60" s="38">
        <f>SUM(O60:R60)</f>
        <v>32000</v>
      </c>
      <c r="T60" s="36"/>
      <c r="U60" s="36"/>
      <c r="V60" s="36"/>
      <c r="W60" s="37"/>
      <c r="X60" s="37"/>
      <c r="Y60" s="37"/>
      <c r="Z60" s="38"/>
      <c r="AA60" s="38">
        <f>SUM(W60:Z60)</f>
        <v>0</v>
      </c>
      <c r="AB60" s="36"/>
      <c r="AC60" s="36"/>
      <c r="AD60" s="36"/>
      <c r="AE60" s="37"/>
      <c r="AF60" s="37"/>
      <c r="AG60" s="37"/>
      <c r="AH60" s="38"/>
      <c r="AI60" s="38">
        <f>SUM(AE60:AH60)</f>
        <v>0</v>
      </c>
      <c r="AK60" s="36"/>
      <c r="AL60" s="67">
        <f t="shared" si="26"/>
        <v>44000</v>
      </c>
      <c r="AM60" s="67">
        <f t="shared" si="27"/>
        <v>0</v>
      </c>
    </row>
    <row r="61" spans="1:40" s="41" customFormat="1" ht="13.5">
      <c r="A61" s="36"/>
      <c r="B61" s="67">
        <f t="shared" si="25"/>
        <v>5000</v>
      </c>
      <c r="C61" s="67"/>
      <c r="D61" s="67">
        <f>SUM(I61+Q61+Y61+AG61)</f>
        <v>0</v>
      </c>
      <c r="E61" s="36" t="s">
        <v>45</v>
      </c>
      <c r="F61" s="36" t="s">
        <v>197</v>
      </c>
      <c r="G61" s="37">
        <v>5000</v>
      </c>
      <c r="H61" s="37"/>
      <c r="I61" s="37"/>
      <c r="J61" s="38"/>
      <c r="K61" s="38">
        <f>SUM(G61:J61)</f>
        <v>5000</v>
      </c>
      <c r="L61" s="36"/>
      <c r="M61" s="36"/>
      <c r="N61" s="36"/>
      <c r="O61" s="37"/>
      <c r="P61" s="37"/>
      <c r="Q61" s="37"/>
      <c r="R61" s="38"/>
      <c r="S61" s="38">
        <f>SUM(O61:R61)</f>
        <v>0</v>
      </c>
      <c r="T61" s="36"/>
      <c r="U61" s="36"/>
      <c r="V61" s="36"/>
      <c r="W61" s="37"/>
      <c r="X61" s="37"/>
      <c r="Y61" s="37"/>
      <c r="Z61" s="38"/>
      <c r="AA61" s="38">
        <f>SUM(W61:Z61)</f>
        <v>0</v>
      </c>
      <c r="AB61" s="36"/>
      <c r="AC61" s="36"/>
      <c r="AD61" s="36"/>
      <c r="AE61" s="37"/>
      <c r="AF61" s="37"/>
      <c r="AG61" s="37"/>
      <c r="AH61" s="38"/>
      <c r="AI61" s="38">
        <f>SUM(AE61:AH61)</f>
        <v>0</v>
      </c>
      <c r="AK61" s="36"/>
      <c r="AL61" s="67">
        <f t="shared" si="26"/>
        <v>5000</v>
      </c>
      <c r="AM61" s="67">
        <f t="shared" si="27"/>
        <v>0</v>
      </c>
    </row>
    <row r="62" spans="1:40" s="41" customFormat="1" ht="13.5">
      <c r="A62" s="92">
        <f>SUM(B58:B62)</f>
        <v>1903853</v>
      </c>
      <c r="B62" s="67">
        <f t="shared" si="25"/>
        <v>189791</v>
      </c>
      <c r="C62" s="68">
        <f>SUM(H62+P62+X62+AF62)</f>
        <v>1903853</v>
      </c>
      <c r="D62" s="67"/>
      <c r="E62" s="36" t="s">
        <v>198</v>
      </c>
      <c r="F62" s="36"/>
      <c r="G62" s="37">
        <v>189791</v>
      </c>
      <c r="H62" s="45">
        <f>SUM(G58:G62)</f>
        <v>404791</v>
      </c>
      <c r="I62" s="37"/>
      <c r="J62" s="38"/>
      <c r="K62" s="38"/>
      <c r="L62" s="36"/>
      <c r="M62" s="36"/>
      <c r="N62" s="36"/>
      <c r="O62" s="37"/>
      <c r="P62" s="45">
        <f>SUM(O58:O62)</f>
        <v>377461</v>
      </c>
      <c r="Q62" s="37"/>
      <c r="R62" s="38"/>
      <c r="S62" s="38"/>
      <c r="T62" s="36"/>
      <c r="U62" s="36"/>
      <c r="V62" s="36"/>
      <c r="W62" s="37"/>
      <c r="X62" s="45">
        <f>SUM(W58:W62)</f>
        <v>394887</v>
      </c>
      <c r="Y62" s="37"/>
      <c r="Z62" s="38"/>
      <c r="AA62" s="38"/>
      <c r="AB62" s="36"/>
      <c r="AC62" s="36"/>
      <c r="AD62" s="36"/>
      <c r="AE62" s="37"/>
      <c r="AF62" s="45">
        <f>SUM(AE58:AE62)</f>
        <v>726714</v>
      </c>
      <c r="AG62" s="37"/>
      <c r="AH62" s="38"/>
      <c r="AI62" s="38">
        <f>SUM(AE62:AH62)</f>
        <v>726714</v>
      </c>
      <c r="AK62" s="36"/>
      <c r="AL62" s="67">
        <f t="shared" si="26"/>
        <v>189791</v>
      </c>
      <c r="AM62" s="67">
        <f t="shared" si="27"/>
        <v>0</v>
      </c>
    </row>
    <row r="63" spans="1:40" s="78" customFormat="1" ht="13.5">
      <c r="A63" s="70" t="s">
        <v>125</v>
      </c>
      <c r="B63" s="71">
        <f>B56-SUM(B58:B62)</f>
        <v>47</v>
      </c>
      <c r="C63" s="71"/>
      <c r="D63" s="71">
        <f>D57-SUM(D58:D62)</f>
        <v>147081.46000000008</v>
      </c>
      <c r="E63" s="70" t="str">
        <f t="shared" ref="E63:E64" si="28">$A63</f>
        <v>'19 CALC END BAL</v>
      </c>
      <c r="F63" s="72">
        <v>0</v>
      </c>
      <c r="G63" s="86">
        <f>SUM(G57-(SUM(G58:G62)))</f>
        <v>14357.702481999993</v>
      </c>
      <c r="H63" s="73"/>
      <c r="I63" s="86">
        <f>SUM(I57-(SUM(I58:I62)))</f>
        <v>253842.42</v>
      </c>
      <c r="J63" s="72"/>
      <c r="K63" s="72"/>
      <c r="L63" s="75"/>
      <c r="M63" s="70" t="str">
        <f t="shared" ref="M63:M64" si="29">$A63</f>
        <v>'19 CALC END BAL</v>
      </c>
      <c r="N63" s="72">
        <v>0</v>
      </c>
      <c r="O63" s="86">
        <f>SUM(O57-(SUM(O58:O62)))</f>
        <v>5628.9355909999576</v>
      </c>
      <c r="P63" s="73"/>
      <c r="Q63" s="86">
        <f>SUM(Q57-(SUM(Q58:Q62)))</f>
        <v>50133.420000000042</v>
      </c>
      <c r="R63" s="72">
        <v>0</v>
      </c>
      <c r="S63" s="72">
        <v>0</v>
      </c>
      <c r="T63" s="75"/>
      <c r="U63" s="70" t="str">
        <f t="shared" ref="U63:U64" si="30">$A63</f>
        <v>'19 CALC END BAL</v>
      </c>
      <c r="V63" s="72">
        <v>0</v>
      </c>
      <c r="W63" s="86">
        <f>SUM(W57-(SUM(W58:W62)))</f>
        <v>-19987.388276000042</v>
      </c>
      <c r="X63" s="73"/>
      <c r="Y63" s="86">
        <f>SUM(Y57-(SUM(Y58:Y62)))</f>
        <v>-92189</v>
      </c>
      <c r="Z63" s="72">
        <v>0</v>
      </c>
      <c r="AA63" s="72">
        <v>0</v>
      </c>
      <c r="AB63" s="77"/>
      <c r="AC63" s="70" t="str">
        <f t="shared" ref="AC63:AC64" si="31">$A63</f>
        <v>'19 CALC END BAL</v>
      </c>
      <c r="AD63" s="72">
        <v>0</v>
      </c>
      <c r="AE63" s="86">
        <f>SUM(AE57-(SUM(AE58:AE62)))</f>
        <v>0.29197000002022833</v>
      </c>
      <c r="AF63" s="73"/>
      <c r="AG63" s="86">
        <f>SUM(AG57-(SUM(AG58:AG62)))</f>
        <v>190641.62</v>
      </c>
      <c r="AH63" s="72">
        <v>0</v>
      </c>
      <c r="AI63" s="72">
        <v>0</v>
      </c>
      <c r="AK63" s="70" t="str">
        <f t="shared" ref="AK63:AK64" si="32">$A63</f>
        <v>'19 CALC END BAL</v>
      </c>
      <c r="AL63" s="91">
        <f t="shared" si="26"/>
        <v>-0.4582330000703223</v>
      </c>
      <c r="AM63" s="91">
        <f t="shared" si="27"/>
        <v>402428.46000000008</v>
      </c>
      <c r="AN63" s="101">
        <v>210783</v>
      </c>
    </row>
    <row r="64" spans="1:40" s="78" customFormat="1" ht="13.5">
      <c r="A64" s="70" t="s">
        <v>152</v>
      </c>
      <c r="B64" s="71">
        <f>SUM(G64+O64+W64+AE64)</f>
        <v>5628.9355909999576</v>
      </c>
      <c r="C64" s="71"/>
      <c r="D64" s="71">
        <f>SUM(I64+Q64+Y64+AG64)</f>
        <v>402428.46000000008</v>
      </c>
      <c r="E64" s="70" t="str">
        <f t="shared" si="28"/>
        <v>'19 ADJ END BAL</v>
      </c>
      <c r="F64" s="72">
        <v>0</v>
      </c>
      <c r="G64" s="73">
        <v>0</v>
      </c>
      <c r="H64" s="74"/>
      <c r="I64" s="73">
        <f>I63</f>
        <v>253842.42</v>
      </c>
      <c r="J64" s="72"/>
      <c r="K64" s="72"/>
      <c r="L64" s="75"/>
      <c r="M64" s="70" t="str">
        <f t="shared" si="29"/>
        <v>'19 ADJ END BAL</v>
      </c>
      <c r="N64" s="72">
        <v>0</v>
      </c>
      <c r="O64" s="73">
        <f>O63</f>
        <v>5628.9355909999576</v>
      </c>
      <c r="P64" s="74"/>
      <c r="Q64" s="73">
        <f>Q63</f>
        <v>50133.420000000042</v>
      </c>
      <c r="R64" s="72">
        <v>0</v>
      </c>
      <c r="S64" s="72">
        <v>0</v>
      </c>
      <c r="T64" s="75"/>
      <c r="U64" s="70" t="str">
        <f t="shared" si="30"/>
        <v>'19 ADJ END BAL</v>
      </c>
      <c r="V64" s="72">
        <v>0</v>
      </c>
      <c r="W64" s="73">
        <v>0</v>
      </c>
      <c r="X64" s="74"/>
      <c r="Y64" s="73">
        <f>Y63</f>
        <v>-92189</v>
      </c>
      <c r="Z64" s="72">
        <v>0</v>
      </c>
      <c r="AA64" s="72">
        <v>0</v>
      </c>
      <c r="AB64" s="77"/>
      <c r="AC64" s="70" t="str">
        <f t="shared" si="31"/>
        <v>'19 ADJ END BAL</v>
      </c>
      <c r="AD64" s="72">
        <v>0</v>
      </c>
      <c r="AE64" s="73">
        <v>0</v>
      </c>
      <c r="AF64" s="74"/>
      <c r="AG64" s="73">
        <f>AG63</f>
        <v>190641.62</v>
      </c>
      <c r="AH64" s="72">
        <v>0</v>
      </c>
      <c r="AI64" s="72">
        <v>0</v>
      </c>
      <c r="AK64" s="70" t="str">
        <f t="shared" si="32"/>
        <v>'19 ADJ END BAL</v>
      </c>
      <c r="AL64" s="71"/>
      <c r="AM64" s="91">
        <f t="shared" si="27"/>
        <v>402428.46000000008</v>
      </c>
    </row>
    <row r="65" spans="1:39" s="78" customFormat="1" ht="13.5">
      <c r="A65" s="25" t="s">
        <v>155</v>
      </c>
      <c r="B65" s="66">
        <v>1941000</v>
      </c>
      <c r="C65" s="66"/>
      <c r="D65" s="66">
        <v>270698</v>
      </c>
      <c r="E65" s="58" t="str">
        <f t="shared" ref="E65:E66" si="33">$A65</f>
        <v>'20 TARGET</v>
      </c>
      <c r="F65" s="26" t="s">
        <v>151</v>
      </c>
      <c r="G65" s="34">
        <v>513000</v>
      </c>
      <c r="H65" s="28"/>
      <c r="I65" s="34">
        <v>66447</v>
      </c>
      <c r="J65" s="26"/>
      <c r="K65" s="26"/>
      <c r="L65" s="29"/>
      <c r="M65" s="58" t="str">
        <f t="shared" ref="M65:M66" si="34">$A65</f>
        <v>'20 TARGET</v>
      </c>
      <c r="N65" s="26" t="s">
        <v>151</v>
      </c>
      <c r="O65" s="34">
        <v>427000</v>
      </c>
      <c r="P65" s="28"/>
      <c r="Q65" s="34">
        <v>58250</v>
      </c>
      <c r="R65" s="26" t="s">
        <v>151</v>
      </c>
      <c r="S65" s="26" t="s">
        <v>151</v>
      </c>
      <c r="T65" s="29"/>
      <c r="U65" s="58" t="str">
        <f t="shared" ref="U65:U66" si="35">$A65</f>
        <v>'20 TARGET</v>
      </c>
      <c r="V65" s="26" t="s">
        <v>151</v>
      </c>
      <c r="W65" s="34">
        <v>511000</v>
      </c>
      <c r="X65" s="28"/>
      <c r="Y65" s="35">
        <v>73255</v>
      </c>
      <c r="Z65" s="26" t="s">
        <v>151</v>
      </c>
      <c r="AA65" s="26" t="s">
        <v>151</v>
      </c>
      <c r="AB65" s="32"/>
      <c r="AC65" s="58" t="str">
        <f t="shared" ref="AC65:AC66" si="36">$A65</f>
        <v>'20 TARGET</v>
      </c>
      <c r="AD65" s="26" t="s">
        <v>151</v>
      </c>
      <c r="AE65" s="34">
        <v>490000</v>
      </c>
      <c r="AF65" s="28"/>
      <c r="AG65" s="35">
        <v>72747</v>
      </c>
      <c r="AH65" s="26" t="s">
        <v>151</v>
      </c>
      <c r="AI65" s="26" t="s">
        <v>151</v>
      </c>
      <c r="AJ65" s="33"/>
      <c r="AK65" s="58" t="str">
        <f>$A65</f>
        <v>'20 TARGET</v>
      </c>
      <c r="AL65" s="89">
        <f>SUM(W65,AE65,O65,G65)</f>
        <v>1941000</v>
      </c>
      <c r="AM65" s="89">
        <f>SUM(Y65,AG65,Q65,I65)</f>
        <v>270699</v>
      </c>
    </row>
    <row r="66" spans="1:39" s="78" customFormat="1" ht="13.5">
      <c r="A66" s="25" t="s">
        <v>153</v>
      </c>
      <c r="B66" s="66">
        <f>SUM(G66+O66+W66+AE66)</f>
        <v>1941000</v>
      </c>
      <c r="C66" s="66"/>
      <c r="D66" s="66">
        <f>D64+D65</f>
        <v>673126.46000000008</v>
      </c>
      <c r="E66" s="58" t="str">
        <f t="shared" si="33"/>
        <v>'20 BEG BAL</v>
      </c>
      <c r="F66" s="26">
        <v>0</v>
      </c>
      <c r="G66" s="27">
        <f>G65</f>
        <v>513000</v>
      </c>
      <c r="H66" s="28"/>
      <c r="I66" s="27">
        <f>SUM(I64+I65)</f>
        <v>320289.42000000004</v>
      </c>
      <c r="J66" s="26"/>
      <c r="K66" s="26"/>
      <c r="L66" s="29"/>
      <c r="M66" s="58" t="str">
        <f t="shared" si="34"/>
        <v>'20 BEG BAL</v>
      </c>
      <c r="N66" s="26">
        <v>0</v>
      </c>
      <c r="O66" s="27">
        <f>O65</f>
        <v>427000</v>
      </c>
      <c r="P66" s="28"/>
      <c r="Q66" s="27">
        <f>SUM(Q64+Q65)</f>
        <v>108383.42000000004</v>
      </c>
      <c r="R66" s="26">
        <v>0</v>
      </c>
      <c r="S66" s="26">
        <v>0</v>
      </c>
      <c r="T66" s="29"/>
      <c r="U66" s="58" t="str">
        <f t="shared" si="35"/>
        <v>'20 BEG BAL</v>
      </c>
      <c r="V66" s="26">
        <v>0</v>
      </c>
      <c r="W66" s="27">
        <f>W65</f>
        <v>511000</v>
      </c>
      <c r="X66" s="28"/>
      <c r="Y66" s="27">
        <f>SUM(Y64+Y65)</f>
        <v>-18934</v>
      </c>
      <c r="Z66" s="26">
        <v>0</v>
      </c>
      <c r="AA66" s="26">
        <v>0</v>
      </c>
      <c r="AB66" s="32"/>
      <c r="AC66" s="58" t="str">
        <f t="shared" si="36"/>
        <v>'20 BEG BAL</v>
      </c>
      <c r="AD66" s="26">
        <v>0</v>
      </c>
      <c r="AE66" s="27">
        <f>AE65</f>
        <v>490000</v>
      </c>
      <c r="AF66" s="28"/>
      <c r="AG66" s="27">
        <f>SUM(AG64+AG65)</f>
        <v>263388.62</v>
      </c>
      <c r="AH66" s="26">
        <v>0</v>
      </c>
      <c r="AI66" s="26">
        <v>0</v>
      </c>
      <c r="AJ66" s="33"/>
      <c r="AK66" s="25" t="s">
        <v>153</v>
      </c>
      <c r="AL66" s="66">
        <f>AL65</f>
        <v>1941000</v>
      </c>
      <c r="AM66" s="89">
        <f>SUM(Y66,AG66,Q66,I66)</f>
        <v>673127.46000000008</v>
      </c>
    </row>
    <row r="67" spans="1:39" s="78" customFormat="1" ht="13.5">
      <c r="A67" s="36"/>
      <c r="B67" s="67">
        <f>SUM(G67+O67+W67+AE67)</f>
        <v>1143000</v>
      </c>
      <c r="C67" s="67"/>
      <c r="D67" s="67">
        <f>SUM(I67+Q67+Y67+AG67)</f>
        <v>169061</v>
      </c>
      <c r="E67" s="104" t="s">
        <v>206</v>
      </c>
      <c r="F67" s="36" t="s">
        <v>199</v>
      </c>
      <c r="G67" s="37">
        <v>453000</v>
      </c>
      <c r="H67" s="37"/>
      <c r="I67" s="37">
        <v>95806</v>
      </c>
      <c r="J67" s="38">
        <v>276194</v>
      </c>
      <c r="K67" s="38">
        <f>SUM(G67:J67)</f>
        <v>825000</v>
      </c>
      <c r="L67" s="36"/>
      <c r="M67" s="36" t="s">
        <v>45</v>
      </c>
      <c r="N67" s="39" t="s">
        <v>52</v>
      </c>
      <c r="O67" s="37">
        <v>79000</v>
      </c>
      <c r="P67" s="37"/>
      <c r="Q67" s="37"/>
      <c r="R67" s="38">
        <v>10750</v>
      </c>
      <c r="S67" s="38">
        <f>SUM(O67:R67)</f>
        <v>89750</v>
      </c>
      <c r="T67" s="36"/>
      <c r="U67" s="104" t="s">
        <v>167</v>
      </c>
      <c r="V67" s="38" t="s">
        <v>14</v>
      </c>
      <c r="W67" s="37">
        <v>511000</v>
      </c>
      <c r="X67" s="37"/>
      <c r="Y67" s="37">
        <v>73255</v>
      </c>
      <c r="Z67" s="38">
        <v>60000</v>
      </c>
      <c r="AA67" s="38">
        <f>SUM(W67:Z67)</f>
        <v>644255</v>
      </c>
      <c r="AB67" s="36"/>
      <c r="AC67" s="61" t="s">
        <v>45</v>
      </c>
      <c r="AD67" s="63" t="s">
        <v>137</v>
      </c>
      <c r="AE67" s="43">
        <v>100000</v>
      </c>
      <c r="AF67" s="43"/>
      <c r="AG67" s="43"/>
      <c r="AH67" s="43">
        <v>25000</v>
      </c>
      <c r="AI67" s="38">
        <f>SUM(AE67:AH67)</f>
        <v>125000</v>
      </c>
      <c r="AJ67" s="41"/>
      <c r="AK67" s="36"/>
      <c r="AL67" s="67">
        <v>55000</v>
      </c>
      <c r="AM67" s="67">
        <v>0</v>
      </c>
    </row>
    <row r="68" spans="1:39" s="78" customFormat="1" ht="13.5">
      <c r="A68" s="36"/>
      <c r="B68" s="67">
        <f>SUM(G68+O68+W68+AE68)</f>
        <v>738000</v>
      </c>
      <c r="C68" s="67"/>
      <c r="D68" s="67">
        <f>SUM(I68+Q68+Y68+AG68)</f>
        <v>50000</v>
      </c>
      <c r="E68" s="36"/>
      <c r="F68" s="36"/>
      <c r="G68" s="37"/>
      <c r="H68" s="37"/>
      <c r="I68" s="37"/>
      <c r="J68" s="38"/>
      <c r="K68" s="38">
        <f>SUM(G68:J68)</f>
        <v>0</v>
      </c>
      <c r="L68" s="36"/>
      <c r="M68" s="104" t="s">
        <v>166</v>
      </c>
      <c r="N68" s="36" t="s">
        <v>158</v>
      </c>
      <c r="O68" s="37">
        <v>348000</v>
      </c>
      <c r="P68" s="37"/>
      <c r="Q68" s="37">
        <v>50000</v>
      </c>
      <c r="R68" s="38">
        <v>96518</v>
      </c>
      <c r="S68" s="38">
        <f>SUM(O68:R68)</f>
        <v>494518</v>
      </c>
      <c r="T68" s="36"/>
      <c r="U68" s="36"/>
      <c r="V68" s="36"/>
      <c r="W68" s="37"/>
      <c r="X68" s="37"/>
      <c r="Y68" s="37"/>
      <c r="Z68" s="38"/>
      <c r="AA68" s="38">
        <f>SUM(W68:Z68)</f>
        <v>0</v>
      </c>
      <c r="AB68" s="36"/>
      <c r="AC68" s="104" t="s">
        <v>208</v>
      </c>
      <c r="AD68" s="36" t="s">
        <v>132</v>
      </c>
      <c r="AE68" s="37">
        <v>390000</v>
      </c>
      <c r="AF68" s="37"/>
      <c r="AG68" s="37"/>
      <c r="AH68" s="38">
        <v>100000</v>
      </c>
      <c r="AI68" s="38">
        <f>SUM(AE68:AH68)</f>
        <v>490000</v>
      </c>
      <c r="AJ68" s="41"/>
      <c r="AK68" s="36"/>
      <c r="AL68" s="67">
        <v>0</v>
      </c>
      <c r="AM68" s="67">
        <v>0</v>
      </c>
    </row>
    <row r="69" spans="1:39" s="78" customFormat="1" ht="13.5">
      <c r="A69" s="36"/>
      <c r="B69" s="67">
        <f>SUM(G69+O69+W69+AE69)</f>
        <v>60000</v>
      </c>
      <c r="C69" s="67"/>
      <c r="D69" s="67">
        <f>SUM(I69+Q69+Y69+AG69)</f>
        <v>0</v>
      </c>
      <c r="E69" s="36" t="s">
        <v>45</v>
      </c>
      <c r="F69" s="36" t="s">
        <v>52</v>
      </c>
      <c r="G69" s="37">
        <v>60000</v>
      </c>
      <c r="H69" s="37"/>
      <c r="I69" s="37"/>
      <c r="J69" s="38">
        <v>15000</v>
      </c>
      <c r="K69" s="38">
        <f>SUM(G69:J69)</f>
        <v>75000</v>
      </c>
      <c r="L69" s="36"/>
      <c r="M69" s="36"/>
      <c r="N69" s="36"/>
      <c r="O69" s="37"/>
      <c r="P69" s="37"/>
      <c r="Q69" s="37"/>
      <c r="R69" s="38"/>
      <c r="S69" s="38">
        <f>SUM(O69:R69)</f>
        <v>0</v>
      </c>
      <c r="T69" s="36"/>
      <c r="U69" s="36"/>
      <c r="V69" s="36"/>
      <c r="W69" s="37"/>
      <c r="X69" s="37"/>
      <c r="Y69" s="37"/>
      <c r="Z69" s="38"/>
      <c r="AA69" s="38">
        <f>SUM(W69:Z69)</f>
        <v>0</v>
      </c>
      <c r="AB69" s="36"/>
      <c r="AC69" s="36"/>
      <c r="AD69" s="36"/>
      <c r="AE69" s="37"/>
      <c r="AF69" s="37"/>
      <c r="AG69" s="37"/>
      <c r="AH69" s="38"/>
      <c r="AI69" s="38">
        <f>SUM(AE69:AH69)</f>
        <v>0</v>
      </c>
      <c r="AJ69" s="41"/>
      <c r="AK69" s="36"/>
      <c r="AL69" s="67">
        <v>0</v>
      </c>
      <c r="AM69" s="67">
        <v>0</v>
      </c>
    </row>
    <row r="70" spans="1:39" s="78" customFormat="1" ht="13.5">
      <c r="A70" s="92">
        <f>SUM(B67:B70)</f>
        <v>1941000</v>
      </c>
      <c r="B70" s="67">
        <f>SUM(G70+O70+W70+AE70)</f>
        <v>0</v>
      </c>
      <c r="C70" s="68">
        <f>SUM(H70+P70+X70+AF70)</f>
        <v>1941000</v>
      </c>
      <c r="D70" s="67"/>
      <c r="E70" s="36"/>
      <c r="F70" s="36"/>
      <c r="G70" s="37"/>
      <c r="H70" s="45">
        <f>SUM(G67:G70)</f>
        <v>513000</v>
      </c>
      <c r="I70" s="37"/>
      <c r="J70" s="38"/>
      <c r="K70" s="38"/>
      <c r="L70" s="36"/>
      <c r="M70" s="36"/>
      <c r="N70" s="36"/>
      <c r="O70" s="37"/>
      <c r="P70" s="45">
        <f>SUM(O67:O70)</f>
        <v>427000</v>
      </c>
      <c r="Q70" s="37"/>
      <c r="R70" s="38"/>
      <c r="S70" s="38"/>
      <c r="T70" s="36"/>
      <c r="U70" s="36"/>
      <c r="V70" s="36"/>
      <c r="W70" s="37"/>
      <c r="X70" s="45">
        <f>SUM(W67:W70)</f>
        <v>511000</v>
      </c>
      <c r="Y70" s="37"/>
      <c r="Z70" s="38"/>
      <c r="AA70" s="38"/>
      <c r="AB70" s="36"/>
      <c r="AC70" s="36"/>
      <c r="AD70" s="36"/>
      <c r="AE70" s="37"/>
      <c r="AF70" s="45">
        <f>SUM(AE67:AE70)</f>
        <v>490000</v>
      </c>
      <c r="AG70" s="37"/>
      <c r="AH70" s="38"/>
      <c r="AI70" s="38">
        <f>SUM(AE70:AH70)</f>
        <v>490000</v>
      </c>
      <c r="AJ70" s="41"/>
      <c r="AK70" s="36"/>
      <c r="AL70" s="67">
        <v>0</v>
      </c>
      <c r="AM70" s="67">
        <v>0</v>
      </c>
    </row>
    <row r="71" spans="1:39" s="78" customFormat="1" ht="13.5">
      <c r="A71" s="70" t="s">
        <v>170</v>
      </c>
      <c r="B71" s="71">
        <f>B65-SUM(B67:B70)</f>
        <v>0</v>
      </c>
      <c r="C71" s="71"/>
      <c r="D71" s="71">
        <f>D66-SUM(D67:D70)</f>
        <v>454065.46000000008</v>
      </c>
      <c r="E71" s="70" t="str">
        <f t="shared" ref="E71:E72" si="37">$A71</f>
        <v>'20 CALC END BAL</v>
      </c>
      <c r="F71" s="72">
        <v>0</v>
      </c>
      <c r="G71" s="86">
        <f>SUM(G66-(SUM(G67:G70)))</f>
        <v>0</v>
      </c>
      <c r="H71" s="73"/>
      <c r="I71" s="86">
        <f>SUM(I66-(SUM(I67:I70)))</f>
        <v>224483.42000000004</v>
      </c>
      <c r="J71" s="72"/>
      <c r="K71" s="72"/>
      <c r="L71" s="75"/>
      <c r="M71" s="70" t="str">
        <f t="shared" ref="M71:M72" si="38">$A71</f>
        <v>'20 CALC END BAL</v>
      </c>
      <c r="N71" s="72">
        <v>0</v>
      </c>
      <c r="O71" s="86">
        <f>SUM(O66-(SUM(O67:O70)))</f>
        <v>0</v>
      </c>
      <c r="P71" s="73"/>
      <c r="Q71" s="86">
        <f>SUM(Q66-(SUM(Q67:Q70)))</f>
        <v>58383.420000000042</v>
      </c>
      <c r="R71" s="72">
        <v>0</v>
      </c>
      <c r="S71" s="72">
        <v>0</v>
      </c>
      <c r="T71" s="75"/>
      <c r="U71" s="70" t="str">
        <f t="shared" ref="U71:U72" si="39">$A71</f>
        <v>'20 CALC END BAL</v>
      </c>
      <c r="V71" s="72">
        <v>0</v>
      </c>
      <c r="W71" s="86">
        <f>SUM(W66-(SUM(W67:W70)))</f>
        <v>0</v>
      </c>
      <c r="X71" s="73"/>
      <c r="Y71" s="86">
        <f>SUM(Y66-(SUM(Y67:Y70)))</f>
        <v>-92189</v>
      </c>
      <c r="Z71" s="72">
        <v>0</v>
      </c>
      <c r="AA71" s="72">
        <v>0</v>
      </c>
      <c r="AB71" s="77"/>
      <c r="AC71" s="70" t="str">
        <f t="shared" ref="AC71:AC72" si="40">$A71</f>
        <v>'20 CALC END BAL</v>
      </c>
      <c r="AD71" s="72">
        <v>0</v>
      </c>
      <c r="AE71" s="86">
        <f>SUM(AE66-(SUM(AE67:AE70)))</f>
        <v>0</v>
      </c>
      <c r="AF71" s="73"/>
      <c r="AG71" s="86">
        <f>SUM(AG66-(SUM(AG67:AG70)))</f>
        <v>263388.62</v>
      </c>
      <c r="AH71" s="72">
        <v>0</v>
      </c>
      <c r="AI71" s="72">
        <v>0</v>
      </c>
      <c r="AK71" s="70" t="str">
        <f t="shared" ref="AK71:AK72" si="41">$A71</f>
        <v>'20 CALC END BAL</v>
      </c>
      <c r="AL71" s="91">
        <f>SUM(W71,AE71,O71,G71)</f>
        <v>0</v>
      </c>
      <c r="AM71" s="91">
        <f>SUM(Y71,AG71,Q71,I71)</f>
        <v>454066.46000000008</v>
      </c>
    </row>
    <row r="72" spans="1:39" s="78" customFormat="1" ht="13.5">
      <c r="A72" s="70" t="s">
        <v>171</v>
      </c>
      <c r="B72" s="71">
        <f>SUM(G72+O72+W72+AE72)</f>
        <v>0</v>
      </c>
      <c r="C72" s="71"/>
      <c r="D72" s="71">
        <f>SUM(I72+Q72+Y72+AG72)</f>
        <v>454066.46000000008</v>
      </c>
      <c r="E72" s="70" t="str">
        <f t="shared" si="37"/>
        <v>'20 ADJ END BAL</v>
      </c>
      <c r="F72" s="72">
        <v>0</v>
      </c>
      <c r="G72" s="86">
        <f>G71</f>
        <v>0</v>
      </c>
      <c r="H72" s="73"/>
      <c r="I72" s="86">
        <f>I71</f>
        <v>224483.42000000004</v>
      </c>
      <c r="J72" s="72"/>
      <c r="K72" s="72"/>
      <c r="L72" s="75"/>
      <c r="M72" s="70" t="str">
        <f t="shared" si="38"/>
        <v>'20 ADJ END BAL</v>
      </c>
      <c r="N72" s="72">
        <v>0</v>
      </c>
      <c r="O72" s="86">
        <f>O71</f>
        <v>0</v>
      </c>
      <c r="P72" s="73"/>
      <c r="Q72" s="86">
        <f>Q71</f>
        <v>58383.420000000042</v>
      </c>
      <c r="R72" s="72">
        <v>0</v>
      </c>
      <c r="S72" s="72">
        <v>0</v>
      </c>
      <c r="T72" s="75"/>
      <c r="U72" s="70" t="str">
        <f t="shared" si="39"/>
        <v>'20 ADJ END BAL</v>
      </c>
      <c r="V72" s="72">
        <v>0</v>
      </c>
      <c r="W72" s="86">
        <f>W71</f>
        <v>0</v>
      </c>
      <c r="X72" s="73"/>
      <c r="Y72" s="86">
        <f>Y71</f>
        <v>-92189</v>
      </c>
      <c r="Z72" s="72">
        <v>0</v>
      </c>
      <c r="AA72" s="72">
        <v>0</v>
      </c>
      <c r="AB72" s="77"/>
      <c r="AC72" s="70" t="str">
        <f t="shared" si="40"/>
        <v>'20 ADJ END BAL</v>
      </c>
      <c r="AD72" s="72">
        <v>0</v>
      </c>
      <c r="AE72" s="86">
        <f>AE71</f>
        <v>0</v>
      </c>
      <c r="AF72" s="73"/>
      <c r="AG72" s="86">
        <f>AG71</f>
        <v>263388.62</v>
      </c>
      <c r="AH72" s="72">
        <v>0</v>
      </c>
      <c r="AI72" s="72">
        <v>0</v>
      </c>
      <c r="AK72" s="70" t="str">
        <f t="shared" si="41"/>
        <v>'20 ADJ END BAL</v>
      </c>
      <c r="AL72" s="91"/>
      <c r="AM72" s="91">
        <f>SUM(Y72,AG72,Q72,I72)</f>
        <v>454066.46000000008</v>
      </c>
    </row>
    <row r="73" spans="1:39" s="33" customFormat="1" ht="13.5">
      <c r="A73" s="25" t="s">
        <v>172</v>
      </c>
      <c r="B73" s="66">
        <v>1981000</v>
      </c>
      <c r="C73" s="66"/>
      <c r="D73" s="66">
        <v>270698</v>
      </c>
      <c r="E73" s="58" t="str">
        <f t="shared" ref="E73:E74" si="42">$A73</f>
        <v>'21 TARGET</v>
      </c>
      <c r="F73" s="26">
        <v>0</v>
      </c>
      <c r="G73" s="34">
        <v>523000</v>
      </c>
      <c r="H73" s="28"/>
      <c r="I73" s="34">
        <v>66447</v>
      </c>
      <c r="J73" s="26"/>
      <c r="K73" s="26"/>
      <c r="L73" s="29"/>
      <c r="M73" s="58" t="str">
        <f t="shared" ref="M73:M74" si="43">$A73</f>
        <v>'21 TARGET</v>
      </c>
      <c r="N73" s="26">
        <v>0</v>
      </c>
      <c r="O73" s="34">
        <v>436000</v>
      </c>
      <c r="P73" s="28"/>
      <c r="Q73" s="34">
        <v>58250</v>
      </c>
      <c r="R73" s="26">
        <v>0</v>
      </c>
      <c r="S73" s="26">
        <v>0</v>
      </c>
      <c r="T73" s="29"/>
      <c r="U73" s="58" t="str">
        <f t="shared" ref="U73:U74" si="44">$A73</f>
        <v>'21 TARGET</v>
      </c>
      <c r="V73" s="26">
        <v>0</v>
      </c>
      <c r="W73" s="34">
        <v>522000</v>
      </c>
      <c r="X73" s="28"/>
      <c r="Y73" s="35">
        <v>73255</v>
      </c>
      <c r="Z73" s="26">
        <v>0</v>
      </c>
      <c r="AA73" s="26">
        <v>0</v>
      </c>
      <c r="AB73" s="32"/>
      <c r="AC73" s="58" t="str">
        <f t="shared" ref="AC73:AC74" si="45">$A73</f>
        <v>'21 TARGET</v>
      </c>
      <c r="AD73" s="26">
        <v>0</v>
      </c>
      <c r="AE73" s="34">
        <v>500000</v>
      </c>
      <c r="AF73" s="28"/>
      <c r="AG73" s="35">
        <v>72747</v>
      </c>
      <c r="AH73" s="26">
        <v>0</v>
      </c>
      <c r="AI73" s="26">
        <v>0</v>
      </c>
      <c r="AK73" s="58" t="str">
        <f>$A73</f>
        <v>'21 TARGET</v>
      </c>
      <c r="AL73" s="89">
        <f>SUM(W73,AE73,O73,G73)</f>
        <v>1981000</v>
      </c>
      <c r="AM73" s="89">
        <f t="shared" ref="AM73:AM81" si="46">SUM(Y73,AG73,Q73,I73)</f>
        <v>270699</v>
      </c>
    </row>
    <row r="74" spans="1:39" s="33" customFormat="1" ht="13.5">
      <c r="A74" s="25" t="s">
        <v>173</v>
      </c>
      <c r="B74" s="66">
        <f>SUM(G74+O74+W74+AE74)</f>
        <v>1981000</v>
      </c>
      <c r="C74" s="66"/>
      <c r="D74" s="66">
        <f>D72+D73</f>
        <v>724764.46000000008</v>
      </c>
      <c r="E74" s="58" t="str">
        <f t="shared" si="42"/>
        <v>'21 BEG BAL</v>
      </c>
      <c r="F74" s="26">
        <v>0</v>
      </c>
      <c r="G74" s="27">
        <f>G73</f>
        <v>523000</v>
      </c>
      <c r="H74" s="28"/>
      <c r="I74" s="27">
        <f>SUM(I72+I73)</f>
        <v>290930.42000000004</v>
      </c>
      <c r="J74" s="26"/>
      <c r="K74" s="96"/>
      <c r="L74" s="29"/>
      <c r="M74" s="58" t="str">
        <f t="shared" si="43"/>
        <v>'21 BEG BAL</v>
      </c>
      <c r="N74" s="26">
        <v>0</v>
      </c>
      <c r="O74" s="27">
        <f>O73</f>
        <v>436000</v>
      </c>
      <c r="P74" s="28"/>
      <c r="Q74" s="27">
        <f>SUM(Q72+Q73)</f>
        <v>116633.42000000004</v>
      </c>
      <c r="R74" s="26">
        <v>0</v>
      </c>
      <c r="S74" s="26">
        <v>0</v>
      </c>
      <c r="T74" s="29"/>
      <c r="U74" s="58" t="str">
        <f t="shared" si="44"/>
        <v>'21 BEG BAL</v>
      </c>
      <c r="V74" s="26">
        <v>0</v>
      </c>
      <c r="W74" s="27">
        <f>W73</f>
        <v>522000</v>
      </c>
      <c r="X74" s="28"/>
      <c r="Y74" s="27">
        <f>SUM(Y72+Y73)</f>
        <v>-18934</v>
      </c>
      <c r="Z74" s="26">
        <v>0</v>
      </c>
      <c r="AA74" s="26">
        <v>0</v>
      </c>
      <c r="AB74" s="32"/>
      <c r="AC74" s="58" t="str">
        <f t="shared" si="45"/>
        <v>'21 BEG BAL</v>
      </c>
      <c r="AD74" s="26">
        <v>0</v>
      </c>
      <c r="AE74" s="27">
        <f>AE73</f>
        <v>500000</v>
      </c>
      <c r="AF74" s="28"/>
      <c r="AG74" s="27">
        <f>SUM(AG72+AG73)</f>
        <v>336135.62</v>
      </c>
      <c r="AH74" s="26">
        <v>0</v>
      </c>
      <c r="AI74" s="26">
        <v>0</v>
      </c>
      <c r="AK74" s="58" t="str">
        <f>$A74</f>
        <v>'21 BEG BAL</v>
      </c>
      <c r="AL74" s="66">
        <f>AL73</f>
        <v>1981000</v>
      </c>
      <c r="AM74" s="89">
        <f t="shared" si="46"/>
        <v>724765.46000000008</v>
      </c>
    </row>
    <row r="75" spans="1:39" s="41" customFormat="1" ht="13.5">
      <c r="A75" s="36"/>
      <c r="B75" s="67">
        <f>SUM(G75+O75+W75+AE75)</f>
        <v>1452000</v>
      </c>
      <c r="C75" s="67"/>
      <c r="D75" s="67">
        <f>SUM(I75+Q75+Y75+AG75)</f>
        <v>193255</v>
      </c>
      <c r="E75" s="36" t="s">
        <v>193</v>
      </c>
      <c r="F75" s="36" t="s">
        <v>200</v>
      </c>
      <c r="G75" s="37">
        <v>200000</v>
      </c>
      <c r="H75" s="37"/>
      <c r="I75" s="37">
        <v>50000</v>
      </c>
      <c r="J75" s="38">
        <v>30000</v>
      </c>
      <c r="K75" s="38">
        <f>SUM(G75:J75)</f>
        <v>280000</v>
      </c>
      <c r="L75" s="36"/>
      <c r="M75" s="36" t="s">
        <v>209</v>
      </c>
      <c r="N75" s="39" t="s">
        <v>229</v>
      </c>
      <c r="O75" s="37">
        <v>280000</v>
      </c>
      <c r="P75" s="37"/>
      <c r="Q75" s="37">
        <v>70000</v>
      </c>
      <c r="R75" s="38"/>
      <c r="S75" s="38">
        <f>SUM(O75:R75)</f>
        <v>350000</v>
      </c>
      <c r="T75" s="36"/>
      <c r="U75" s="36" t="s">
        <v>232</v>
      </c>
      <c r="V75" s="38"/>
      <c r="W75" s="37">
        <v>522000</v>
      </c>
      <c r="X75" s="37"/>
      <c r="Y75" s="37">
        <v>73255</v>
      </c>
      <c r="Z75" s="38">
        <v>57245</v>
      </c>
      <c r="AA75" s="38">
        <f>SUM(W75:Z75)</f>
        <v>652500</v>
      </c>
      <c r="AB75" s="36"/>
      <c r="AC75" s="36" t="s">
        <v>147</v>
      </c>
      <c r="AD75" s="38"/>
      <c r="AE75" s="37">
        <v>450000</v>
      </c>
      <c r="AF75" s="37"/>
      <c r="AG75" s="37"/>
      <c r="AH75" s="38">
        <v>112500</v>
      </c>
      <c r="AI75" s="38">
        <f>SUM(AE75:AH75)</f>
        <v>562500</v>
      </c>
      <c r="AK75" s="36"/>
      <c r="AL75" s="67">
        <f t="shared" ref="AL75:AL80" si="47">SUM(W75,AE75,O75,G75)</f>
        <v>1452000</v>
      </c>
      <c r="AM75" s="67">
        <f t="shared" si="46"/>
        <v>193255</v>
      </c>
    </row>
    <row r="76" spans="1:39" s="41" customFormat="1" ht="13.5">
      <c r="A76" s="36"/>
      <c r="B76" s="67">
        <f>SUM(G76+O76+W76+AE76)</f>
        <v>298000</v>
      </c>
      <c r="C76" s="67"/>
      <c r="D76" s="67">
        <f>SUM(I76+Q76+Y76+AG76)</f>
        <v>0</v>
      </c>
      <c r="E76" s="36" t="s">
        <v>205</v>
      </c>
      <c r="F76" s="36">
        <v>2020</v>
      </c>
      <c r="G76" s="37">
        <v>128000</v>
      </c>
      <c r="H76" s="37"/>
      <c r="I76" s="37"/>
      <c r="J76" s="38"/>
      <c r="K76" s="38">
        <f>SUM(G76:J76)</f>
        <v>128000</v>
      </c>
      <c r="L76" s="36"/>
      <c r="M76" s="36" t="s">
        <v>234</v>
      </c>
      <c r="N76" s="36" t="s">
        <v>16</v>
      </c>
      <c r="O76" s="37">
        <v>120000</v>
      </c>
      <c r="P76" s="37"/>
      <c r="Q76" s="37"/>
      <c r="R76" s="38">
        <v>30000</v>
      </c>
      <c r="S76" s="38">
        <f>SUM(O76:R76)</f>
        <v>150000</v>
      </c>
      <c r="T76" s="36"/>
      <c r="U76" s="36"/>
      <c r="V76" s="36"/>
      <c r="W76" s="37"/>
      <c r="X76" s="37"/>
      <c r="Y76" s="37"/>
      <c r="Z76" s="38"/>
      <c r="AA76" s="38">
        <f>SUM(W76:Z76)</f>
        <v>0</v>
      </c>
      <c r="AB76" s="36"/>
      <c r="AC76" s="36" t="s">
        <v>237</v>
      </c>
      <c r="AD76" s="36" t="s">
        <v>137</v>
      </c>
      <c r="AE76" s="37">
        <v>50000</v>
      </c>
      <c r="AF76" s="37"/>
      <c r="AG76" s="37"/>
      <c r="AH76" s="38">
        <v>12500</v>
      </c>
      <c r="AI76" s="38">
        <f>SUM(AE76:AH76)</f>
        <v>62500</v>
      </c>
      <c r="AK76" s="36"/>
      <c r="AL76" s="67">
        <f t="shared" si="47"/>
        <v>298000</v>
      </c>
      <c r="AM76" s="67">
        <f t="shared" si="46"/>
        <v>0</v>
      </c>
    </row>
    <row r="77" spans="1:39" s="41" customFormat="1" ht="13.5">
      <c r="A77" s="36"/>
      <c r="B77" s="67">
        <f>SUM(G77+O77+W77+AE77)</f>
        <v>176000</v>
      </c>
      <c r="C77" s="67"/>
      <c r="D77" s="67">
        <f>SUM(I77+Q77+Y77+AG77)</f>
        <v>0</v>
      </c>
      <c r="E77" s="65" t="s">
        <v>142</v>
      </c>
      <c r="F77" s="65"/>
      <c r="G77" s="45">
        <v>140000</v>
      </c>
      <c r="H77" s="45"/>
      <c r="I77" s="37"/>
      <c r="J77" s="38"/>
      <c r="K77" s="38">
        <f>SUM(G77:J77)</f>
        <v>140000</v>
      </c>
      <c r="L77" s="36"/>
      <c r="M77" s="36" t="s">
        <v>235</v>
      </c>
      <c r="N77" s="36" t="s">
        <v>210</v>
      </c>
      <c r="O77" s="37">
        <v>36000</v>
      </c>
      <c r="P77" s="37"/>
      <c r="Q77" s="37"/>
      <c r="R77" s="38">
        <v>9000</v>
      </c>
      <c r="S77" s="38">
        <f>SUM(O77:R77)</f>
        <v>45000</v>
      </c>
      <c r="T77" s="36"/>
      <c r="U77" s="36"/>
      <c r="V77" s="36"/>
      <c r="W77" s="37"/>
      <c r="X77" s="37"/>
      <c r="Y77" s="37"/>
      <c r="Z77" s="38"/>
      <c r="AA77" s="38">
        <f>SUM(W77:Z77)</f>
        <v>0</v>
      </c>
      <c r="AB77" s="36"/>
      <c r="AC77" s="36"/>
      <c r="AD77" s="36"/>
      <c r="AE77" s="37"/>
      <c r="AF77" s="37"/>
      <c r="AG77" s="37"/>
      <c r="AH77" s="38"/>
      <c r="AI77" s="38">
        <f>SUM(AE77:AH77)</f>
        <v>0</v>
      </c>
      <c r="AK77" s="36"/>
      <c r="AL77" s="67">
        <f t="shared" si="47"/>
        <v>176000</v>
      </c>
      <c r="AM77" s="67">
        <f t="shared" si="46"/>
        <v>0</v>
      </c>
    </row>
    <row r="78" spans="1:39" s="41" customFormat="1" ht="13.5">
      <c r="A78" s="36"/>
      <c r="B78" s="67">
        <f>SUM(G78+O78+W78+AE78)</f>
        <v>55000</v>
      </c>
      <c r="C78" s="67"/>
      <c r="D78" s="67">
        <f>SUM(I78+Q78+Y78+AG78)</f>
        <v>0</v>
      </c>
      <c r="E78" s="36" t="s">
        <v>45</v>
      </c>
      <c r="F78" s="36" t="s">
        <v>52</v>
      </c>
      <c r="G78" s="37">
        <v>55000</v>
      </c>
      <c r="H78" s="37"/>
      <c r="I78" s="37"/>
      <c r="J78" s="38"/>
      <c r="K78" s="38">
        <f>SUM(G78:J78)</f>
        <v>55000</v>
      </c>
      <c r="L78" s="36"/>
      <c r="M78" s="36"/>
      <c r="N78" s="36"/>
      <c r="O78" s="37"/>
      <c r="P78" s="37"/>
      <c r="Q78" s="37"/>
      <c r="R78" s="38"/>
      <c r="S78" s="38">
        <f>SUM(O78:R78)</f>
        <v>0</v>
      </c>
      <c r="T78" s="36"/>
      <c r="U78" s="36"/>
      <c r="V78" s="36"/>
      <c r="W78" s="37"/>
      <c r="X78" s="37"/>
      <c r="Y78" s="37"/>
      <c r="Z78" s="38"/>
      <c r="AA78" s="38">
        <f>SUM(W78:Z78)</f>
        <v>0</v>
      </c>
      <c r="AB78" s="36"/>
      <c r="AC78" s="36"/>
      <c r="AD78" s="36"/>
      <c r="AE78" s="37"/>
      <c r="AF78" s="37"/>
      <c r="AG78" s="37"/>
      <c r="AH78" s="38"/>
      <c r="AI78" s="38">
        <f>SUM(AE78:AH78)</f>
        <v>0</v>
      </c>
      <c r="AK78" s="36"/>
      <c r="AL78" s="67">
        <f t="shared" si="47"/>
        <v>55000</v>
      </c>
      <c r="AM78" s="67">
        <f t="shared" si="46"/>
        <v>0</v>
      </c>
    </row>
    <row r="79" spans="1:39" s="41" customFormat="1" ht="13.5">
      <c r="A79" s="92">
        <f>SUM(B75:B79)</f>
        <v>1981000</v>
      </c>
      <c r="B79" s="67"/>
      <c r="C79" s="68">
        <f>SUM(H79+P79+X79+AF79)</f>
        <v>1545000</v>
      </c>
      <c r="D79" s="67"/>
      <c r="E79" s="36"/>
      <c r="F79" s="36"/>
      <c r="G79" s="37"/>
      <c r="H79" s="45">
        <f>SUM(G75:G79)</f>
        <v>523000</v>
      </c>
      <c r="I79" s="37"/>
      <c r="J79" s="38"/>
      <c r="K79" s="38"/>
      <c r="L79" s="36"/>
      <c r="M79" s="36"/>
      <c r="N79" s="36"/>
      <c r="O79" s="37"/>
      <c r="P79" s="45"/>
      <c r="Q79" s="37"/>
      <c r="R79" s="38"/>
      <c r="S79" s="38"/>
      <c r="T79" s="36"/>
      <c r="U79" s="36"/>
      <c r="V79" s="36"/>
      <c r="W79" s="37"/>
      <c r="X79" s="45">
        <f>SUM(W75:W79)</f>
        <v>522000</v>
      </c>
      <c r="Y79" s="37"/>
      <c r="Z79" s="38"/>
      <c r="AA79" s="38"/>
      <c r="AB79" s="36"/>
      <c r="AC79" s="36"/>
      <c r="AD79" s="36"/>
      <c r="AE79" s="37"/>
      <c r="AF79" s="45">
        <f>SUM(AE75:AE79)</f>
        <v>500000</v>
      </c>
      <c r="AG79" s="37"/>
      <c r="AH79" s="38"/>
      <c r="AI79" s="38">
        <f>SUM(AE79:AH79)</f>
        <v>500000</v>
      </c>
      <c r="AK79" s="36"/>
      <c r="AL79" s="67">
        <f t="shared" si="47"/>
        <v>0</v>
      </c>
      <c r="AM79" s="67">
        <f t="shared" si="46"/>
        <v>0</v>
      </c>
    </row>
    <row r="80" spans="1:39" s="78" customFormat="1" ht="13.5">
      <c r="A80" s="70" t="s">
        <v>174</v>
      </c>
      <c r="B80" s="71">
        <f>B74-SUM(B75:B79)</f>
        <v>0</v>
      </c>
      <c r="C80" s="71"/>
      <c r="D80" s="71">
        <f>D74-SUM(D75:D79)</f>
        <v>531509.46000000008</v>
      </c>
      <c r="E80" s="70" t="str">
        <f t="shared" ref="E80:E99" si="48">$A80</f>
        <v>'21 CALC END BAL</v>
      </c>
      <c r="F80" s="72">
        <v>0</v>
      </c>
      <c r="G80" s="86">
        <f>SUM(G74-(SUM(G75:G79)))</f>
        <v>0</v>
      </c>
      <c r="H80" s="73"/>
      <c r="I80" s="86">
        <f>SUM(I74-(SUM(I75:I79)))</f>
        <v>240930.42000000004</v>
      </c>
      <c r="J80" s="72"/>
      <c r="K80" s="72"/>
      <c r="L80" s="75"/>
      <c r="M80" s="70" t="str">
        <f t="shared" ref="M80:M99" si="49">$A80</f>
        <v>'21 CALC END BAL</v>
      </c>
      <c r="N80" s="72">
        <v>0</v>
      </c>
      <c r="O80" s="86">
        <f>SUM(O74-(SUM(O75:O79)))</f>
        <v>0</v>
      </c>
      <c r="P80" s="73"/>
      <c r="Q80" s="86">
        <f>SUM(Q74-(SUM(Q75:Q79)))</f>
        <v>46633.420000000042</v>
      </c>
      <c r="R80" s="72">
        <v>0</v>
      </c>
      <c r="S80" s="72">
        <v>0</v>
      </c>
      <c r="T80" s="75"/>
      <c r="U80" s="70" t="str">
        <f t="shared" ref="U80:U99" si="50">$A80</f>
        <v>'21 CALC END BAL</v>
      </c>
      <c r="V80" s="72">
        <v>0</v>
      </c>
      <c r="W80" s="86">
        <f>SUM(W74-(SUM(W75:W79)))</f>
        <v>0</v>
      </c>
      <c r="X80" s="73"/>
      <c r="Y80" s="86">
        <f>SUM(Y74-(SUM(Y75:Y79)))</f>
        <v>-92189</v>
      </c>
      <c r="Z80" s="72">
        <v>0</v>
      </c>
      <c r="AA80" s="72">
        <v>0</v>
      </c>
      <c r="AB80" s="77"/>
      <c r="AC80" s="70" t="str">
        <f t="shared" ref="AC80:AC99" si="51">$A80</f>
        <v>'21 CALC END BAL</v>
      </c>
      <c r="AD80" s="72">
        <v>0</v>
      </c>
      <c r="AE80" s="86">
        <f>SUM(AE74-(SUM(AE75:AE79)))</f>
        <v>0</v>
      </c>
      <c r="AF80" s="73"/>
      <c r="AG80" s="86">
        <f>SUM(AG74-(SUM(AG75:AG79)))</f>
        <v>336135.62</v>
      </c>
      <c r="AH80" s="72">
        <v>0</v>
      </c>
      <c r="AI80" s="72">
        <v>0</v>
      </c>
      <c r="AK80" s="70" t="str">
        <f t="shared" ref="AK80:AK81" si="52">$A80</f>
        <v>'21 CALC END BAL</v>
      </c>
      <c r="AL80" s="91">
        <f t="shared" si="47"/>
        <v>0</v>
      </c>
      <c r="AM80" s="91">
        <f t="shared" si="46"/>
        <v>531510.46000000008</v>
      </c>
    </row>
    <row r="81" spans="1:39" s="78" customFormat="1" ht="13.5">
      <c r="A81" s="70" t="s">
        <v>175</v>
      </c>
      <c r="B81" s="71">
        <f>SUM(G81+O81+W81+AE81)</f>
        <v>0</v>
      </c>
      <c r="C81" s="71"/>
      <c r="D81" s="71">
        <f>SUM(I81+Q81+Y81+AG81)</f>
        <v>531510.46000000008</v>
      </c>
      <c r="E81" s="70" t="str">
        <f t="shared" si="48"/>
        <v>'21 ADJ END BAL</v>
      </c>
      <c r="F81" s="72">
        <v>0</v>
      </c>
      <c r="G81" s="73">
        <f>G80</f>
        <v>0</v>
      </c>
      <c r="H81" s="74"/>
      <c r="I81" s="73">
        <f>I80</f>
        <v>240930.42000000004</v>
      </c>
      <c r="J81" s="72"/>
      <c r="K81" s="72"/>
      <c r="L81" s="75"/>
      <c r="M81" s="70" t="str">
        <f t="shared" si="49"/>
        <v>'21 ADJ END BAL</v>
      </c>
      <c r="N81" s="72">
        <v>0</v>
      </c>
      <c r="O81" s="73">
        <f>O80</f>
        <v>0</v>
      </c>
      <c r="P81" s="74"/>
      <c r="Q81" s="73">
        <f>Q80</f>
        <v>46633.420000000042</v>
      </c>
      <c r="R81" s="72">
        <v>0</v>
      </c>
      <c r="S81" s="72">
        <v>0</v>
      </c>
      <c r="T81" s="75"/>
      <c r="U81" s="70" t="str">
        <f t="shared" si="50"/>
        <v>'21 ADJ END BAL</v>
      </c>
      <c r="V81" s="72">
        <v>0</v>
      </c>
      <c r="W81" s="73">
        <f>W80</f>
        <v>0</v>
      </c>
      <c r="X81" s="74"/>
      <c r="Y81" s="73">
        <f>Y80</f>
        <v>-92189</v>
      </c>
      <c r="Z81" s="72">
        <v>0</v>
      </c>
      <c r="AA81" s="72">
        <v>0</v>
      </c>
      <c r="AB81" s="77"/>
      <c r="AC81" s="70" t="str">
        <f t="shared" si="51"/>
        <v>'21 ADJ END BAL</v>
      </c>
      <c r="AD81" s="72">
        <v>0</v>
      </c>
      <c r="AE81" s="73">
        <f>AE80</f>
        <v>0</v>
      </c>
      <c r="AF81" s="74"/>
      <c r="AG81" s="73">
        <f>AG80</f>
        <v>336135.62</v>
      </c>
      <c r="AH81" s="72">
        <v>0</v>
      </c>
      <c r="AI81" s="72">
        <v>0</v>
      </c>
      <c r="AK81" s="70" t="str">
        <f t="shared" si="52"/>
        <v>'21 ADJ END BAL</v>
      </c>
      <c r="AL81" s="71"/>
      <c r="AM81" s="91">
        <f t="shared" si="46"/>
        <v>531510.46000000008</v>
      </c>
    </row>
    <row r="82" spans="1:39" s="33" customFormat="1" ht="13.5">
      <c r="A82" s="25" t="s">
        <v>189</v>
      </c>
      <c r="B82" s="66">
        <v>2021000</v>
      </c>
      <c r="C82" s="66"/>
      <c r="D82" s="66">
        <v>270698</v>
      </c>
      <c r="E82" s="58" t="str">
        <f t="shared" si="48"/>
        <v>'22 TARGET</v>
      </c>
      <c r="F82" s="26">
        <v>0</v>
      </c>
      <c r="G82" s="34">
        <v>532000</v>
      </c>
      <c r="H82" s="28"/>
      <c r="I82" s="34">
        <v>66447</v>
      </c>
      <c r="J82" s="26"/>
      <c r="K82" s="26"/>
      <c r="L82" s="29"/>
      <c r="M82" s="58" t="str">
        <f t="shared" si="49"/>
        <v>'22 TARGET</v>
      </c>
      <c r="N82" s="26">
        <v>0</v>
      </c>
      <c r="O82" s="34">
        <v>453000</v>
      </c>
      <c r="P82" s="28"/>
      <c r="Q82" s="34">
        <v>58250</v>
      </c>
      <c r="R82" s="26">
        <v>0</v>
      </c>
      <c r="S82" s="26">
        <v>0</v>
      </c>
      <c r="T82" s="29"/>
      <c r="U82" s="58" t="str">
        <f t="shared" si="50"/>
        <v>'22 TARGET</v>
      </c>
      <c r="V82" s="26">
        <v>0</v>
      </c>
      <c r="W82" s="34">
        <v>532000</v>
      </c>
      <c r="X82" s="28"/>
      <c r="Y82" s="35">
        <v>73255</v>
      </c>
      <c r="Z82" s="26">
        <v>0</v>
      </c>
      <c r="AA82" s="26">
        <v>0</v>
      </c>
      <c r="AB82" s="32"/>
      <c r="AC82" s="58" t="str">
        <f t="shared" si="51"/>
        <v>'22 TARGET</v>
      </c>
      <c r="AD82" s="26">
        <v>0</v>
      </c>
      <c r="AE82" s="34">
        <v>510000</v>
      </c>
      <c r="AF82" s="28"/>
      <c r="AG82" s="35">
        <v>72747</v>
      </c>
      <c r="AH82" s="26">
        <v>0</v>
      </c>
      <c r="AI82" s="26">
        <v>0</v>
      </c>
      <c r="AK82" s="58" t="str">
        <f>$A82</f>
        <v>'22 TARGET</v>
      </c>
      <c r="AL82" s="89">
        <f>SUM(W82,AE82,O82,G82)</f>
        <v>2027000</v>
      </c>
      <c r="AM82" s="89">
        <f t="shared" ref="AM82:AM90" si="53">SUM(Y82,AG82,Q82,I82)</f>
        <v>270699</v>
      </c>
    </row>
    <row r="83" spans="1:39" s="33" customFormat="1" ht="13.5">
      <c r="A83" s="25" t="s">
        <v>190</v>
      </c>
      <c r="B83" s="66">
        <f>SUM(G83+O83+W83+AE83)</f>
        <v>2027000</v>
      </c>
      <c r="C83" s="66"/>
      <c r="D83" s="66">
        <f>D81+D82</f>
        <v>802208.46000000008</v>
      </c>
      <c r="E83" s="58" t="str">
        <f t="shared" si="48"/>
        <v>'22 BEG BAL</v>
      </c>
      <c r="F83" s="26">
        <v>0</v>
      </c>
      <c r="G83" s="27">
        <f>G82</f>
        <v>532000</v>
      </c>
      <c r="H83" s="28"/>
      <c r="I83" s="27">
        <f>SUM(I81+I82)</f>
        <v>307377.42000000004</v>
      </c>
      <c r="J83" s="26"/>
      <c r="K83" s="96"/>
      <c r="L83" s="29"/>
      <c r="M83" s="58" t="str">
        <f t="shared" si="49"/>
        <v>'22 BEG BAL</v>
      </c>
      <c r="N83" s="26">
        <v>0</v>
      </c>
      <c r="O83" s="27">
        <f>O82</f>
        <v>453000</v>
      </c>
      <c r="P83" s="28"/>
      <c r="Q83" s="27">
        <f>SUM(Q81+Q82)</f>
        <v>104883.42000000004</v>
      </c>
      <c r="R83" s="26">
        <v>0</v>
      </c>
      <c r="S83" s="26">
        <v>0</v>
      </c>
      <c r="T83" s="29"/>
      <c r="U83" s="58" t="str">
        <f t="shared" si="50"/>
        <v>'22 BEG BAL</v>
      </c>
      <c r="V83" s="26">
        <v>0</v>
      </c>
      <c r="W83" s="27">
        <f>W82</f>
        <v>532000</v>
      </c>
      <c r="X83" s="28"/>
      <c r="Y83" s="27">
        <f>SUM(Y81+Y82)</f>
        <v>-18934</v>
      </c>
      <c r="Z83" s="26">
        <v>0</v>
      </c>
      <c r="AA83" s="26">
        <v>0</v>
      </c>
      <c r="AB83" s="32"/>
      <c r="AC83" s="58" t="str">
        <f t="shared" si="51"/>
        <v>'22 BEG BAL</v>
      </c>
      <c r="AD83" s="26">
        <v>0</v>
      </c>
      <c r="AE83" s="27">
        <f>AE82</f>
        <v>510000</v>
      </c>
      <c r="AF83" s="28"/>
      <c r="AG83" s="27">
        <f>SUM(AG81+AG82)</f>
        <v>408882.62</v>
      </c>
      <c r="AH83" s="26">
        <v>0</v>
      </c>
      <c r="AI83" s="26">
        <v>0</v>
      </c>
      <c r="AK83" s="58" t="str">
        <f>$A83</f>
        <v>'22 BEG BAL</v>
      </c>
      <c r="AL83" s="66">
        <f>AL82</f>
        <v>2027000</v>
      </c>
      <c r="AM83" s="89">
        <f t="shared" si="53"/>
        <v>802209.46000000008</v>
      </c>
    </row>
    <row r="84" spans="1:39" s="41" customFormat="1" ht="13.5">
      <c r="A84" s="36"/>
      <c r="B84" s="67">
        <f>SUM(G84+O84+W84+AE84)</f>
        <v>1554000</v>
      </c>
      <c r="C84" s="67"/>
      <c r="D84" s="67">
        <f>SUM(I84+Q84+Y84+AG84)</f>
        <v>271149</v>
      </c>
      <c r="E84" s="36" t="s">
        <v>207</v>
      </c>
      <c r="F84" s="36" t="s">
        <v>199</v>
      </c>
      <c r="G84" s="37">
        <f>428260+103740</f>
        <v>532000</v>
      </c>
      <c r="H84" s="37"/>
      <c r="I84" s="37">
        <f>72090+10804</f>
        <v>82894</v>
      </c>
      <c r="J84" s="38">
        <f>825000-532000-82894</f>
        <v>210106</v>
      </c>
      <c r="K84" s="38">
        <f>SUM(G84:J84)</f>
        <v>825000</v>
      </c>
      <c r="L84" s="36"/>
      <c r="M84" s="36" t="s">
        <v>211</v>
      </c>
      <c r="N84" s="39" t="s">
        <v>16</v>
      </c>
      <c r="O84" s="37">
        <v>30000</v>
      </c>
      <c r="P84" s="37"/>
      <c r="Q84" s="37"/>
      <c r="R84" s="38">
        <v>7500</v>
      </c>
      <c r="S84" s="38">
        <f>SUM(O84:R84)</f>
        <v>37500</v>
      </c>
      <c r="T84" s="36"/>
      <c r="U84" s="36" t="s">
        <v>240</v>
      </c>
      <c r="V84" s="38"/>
      <c r="W84" s="37">
        <v>532000</v>
      </c>
      <c r="X84" s="37"/>
      <c r="Y84" s="37">
        <v>73255</v>
      </c>
      <c r="Z84" s="38">
        <v>59745</v>
      </c>
      <c r="AA84" s="38">
        <f>SUM(W84:Z84)</f>
        <v>665000</v>
      </c>
      <c r="AB84" s="36"/>
      <c r="AC84" s="36" t="s">
        <v>214</v>
      </c>
      <c r="AD84" s="38"/>
      <c r="AE84" s="37">
        <v>460000</v>
      </c>
      <c r="AF84" s="37"/>
      <c r="AG84" s="37">
        <v>115000</v>
      </c>
      <c r="AH84" s="38"/>
      <c r="AI84" s="38">
        <f>SUM(AE84:AH84)</f>
        <v>575000</v>
      </c>
      <c r="AK84" s="36"/>
      <c r="AL84" s="67">
        <f t="shared" ref="AL84:AL89" si="54">SUM(W84,AE84,O84,G84)</f>
        <v>1554000</v>
      </c>
      <c r="AM84" s="67">
        <f t="shared" si="53"/>
        <v>271149</v>
      </c>
    </row>
    <row r="85" spans="1:39" s="41" customFormat="1" ht="13.5">
      <c r="A85" s="36"/>
      <c r="B85" s="67">
        <f>SUM(G85+O85+W85+AE85)</f>
        <v>473000</v>
      </c>
      <c r="C85" s="67"/>
      <c r="D85" s="67">
        <f>SUM(I85+Q85+Y85+AG85)</f>
        <v>0</v>
      </c>
      <c r="E85" s="36"/>
      <c r="F85" s="36"/>
      <c r="G85" s="37"/>
      <c r="H85" s="37"/>
      <c r="I85" s="37"/>
      <c r="J85" s="38"/>
      <c r="K85" s="38">
        <f>SUM(G85:J85)</f>
        <v>0</v>
      </c>
      <c r="L85" s="36"/>
      <c r="M85" s="36" t="s">
        <v>212</v>
      </c>
      <c r="N85" s="36" t="s">
        <v>228</v>
      </c>
      <c r="O85" s="37">
        <v>423000</v>
      </c>
      <c r="P85" s="37"/>
      <c r="Q85" s="37"/>
      <c r="R85" s="38"/>
      <c r="S85" s="38">
        <f>SUM(O85:R85)</f>
        <v>423000</v>
      </c>
      <c r="T85" s="36"/>
      <c r="U85" s="36"/>
      <c r="V85" s="36"/>
      <c r="W85" s="37"/>
      <c r="X85" s="37"/>
      <c r="Y85" s="37"/>
      <c r="Z85" s="38"/>
      <c r="AA85" s="38">
        <f>SUM(W85:Z85)</f>
        <v>0</v>
      </c>
      <c r="AB85" s="36"/>
      <c r="AC85" s="36" t="s">
        <v>236</v>
      </c>
      <c r="AD85" s="36" t="s">
        <v>137</v>
      </c>
      <c r="AE85" s="37">
        <v>50000</v>
      </c>
      <c r="AF85" s="37"/>
      <c r="AG85" s="37"/>
      <c r="AH85" s="38">
        <v>12500</v>
      </c>
      <c r="AI85" s="38">
        <f>SUM(AE85:AH85)</f>
        <v>62500</v>
      </c>
      <c r="AK85" s="36"/>
      <c r="AL85" s="67">
        <f t="shared" si="54"/>
        <v>473000</v>
      </c>
      <c r="AM85" s="67">
        <f t="shared" si="53"/>
        <v>0</v>
      </c>
    </row>
    <row r="86" spans="1:39" s="41" customFormat="1" ht="13.5">
      <c r="A86" s="36"/>
      <c r="B86" s="67">
        <f>SUM(G86+O86+W86+AE86)</f>
        <v>0</v>
      </c>
      <c r="C86" s="67"/>
      <c r="D86" s="67">
        <f>SUM(I86+Q86+Y86+AG86)</f>
        <v>0</v>
      </c>
      <c r="E86" s="65"/>
      <c r="F86" s="65"/>
      <c r="G86" s="45"/>
      <c r="H86" s="45"/>
      <c r="I86" s="37"/>
      <c r="J86" s="38"/>
      <c r="K86" s="38">
        <f>SUM(G86:J86)</f>
        <v>0</v>
      </c>
      <c r="L86" s="36"/>
      <c r="M86" s="36"/>
      <c r="N86" s="36"/>
      <c r="O86" s="37"/>
      <c r="P86" s="37"/>
      <c r="Q86" s="37"/>
      <c r="R86" s="38"/>
      <c r="S86" s="38">
        <f>SUM(O86:R86)</f>
        <v>0</v>
      </c>
      <c r="T86" s="36"/>
      <c r="U86" s="36"/>
      <c r="V86" s="36"/>
      <c r="W86" s="37"/>
      <c r="X86" s="37"/>
      <c r="Y86" s="37"/>
      <c r="Z86" s="38"/>
      <c r="AA86" s="38">
        <f>SUM(W86:Z86)</f>
        <v>0</v>
      </c>
      <c r="AB86" s="36"/>
      <c r="AC86" s="36"/>
      <c r="AD86" s="36"/>
      <c r="AE86" s="37"/>
      <c r="AF86" s="37"/>
      <c r="AG86" s="37"/>
      <c r="AH86" s="38"/>
      <c r="AI86" s="38">
        <f>SUM(AE86:AH86)</f>
        <v>0</v>
      </c>
      <c r="AK86" s="36"/>
      <c r="AL86" s="67">
        <f t="shared" si="54"/>
        <v>0</v>
      </c>
      <c r="AM86" s="67">
        <f t="shared" si="53"/>
        <v>0</v>
      </c>
    </row>
    <row r="87" spans="1:39" s="41" customFormat="1" ht="13.5">
      <c r="A87" s="36"/>
      <c r="B87" s="67">
        <f>SUM(G87+O87+W87+AE87)</f>
        <v>0</v>
      </c>
      <c r="C87" s="67"/>
      <c r="D87" s="67">
        <f>SUM(I87+Q87+Y87+AG87)</f>
        <v>0</v>
      </c>
      <c r="E87" s="36"/>
      <c r="F87" s="36"/>
      <c r="G87" s="37"/>
      <c r="H87" s="37"/>
      <c r="I87" s="37"/>
      <c r="J87" s="38"/>
      <c r="K87" s="38">
        <f>SUM(G87:J87)</f>
        <v>0</v>
      </c>
      <c r="L87" s="36"/>
      <c r="M87" s="36"/>
      <c r="N87" s="36"/>
      <c r="O87" s="37"/>
      <c r="P87" s="37"/>
      <c r="Q87" s="37"/>
      <c r="R87" s="38"/>
      <c r="S87" s="38">
        <f>SUM(O87:R87)</f>
        <v>0</v>
      </c>
      <c r="T87" s="36"/>
      <c r="U87" s="36"/>
      <c r="V87" s="36"/>
      <c r="W87" s="37"/>
      <c r="X87" s="37"/>
      <c r="Y87" s="37"/>
      <c r="Z87" s="38"/>
      <c r="AA87" s="38">
        <f>SUM(W87:Z87)</f>
        <v>0</v>
      </c>
      <c r="AB87" s="36"/>
      <c r="AC87" s="36"/>
      <c r="AD87" s="36"/>
      <c r="AE87" s="37"/>
      <c r="AF87" s="37"/>
      <c r="AG87" s="37"/>
      <c r="AH87" s="38"/>
      <c r="AI87" s="38">
        <f>SUM(AE87:AH87)</f>
        <v>0</v>
      </c>
      <c r="AK87" s="36"/>
      <c r="AL87" s="67">
        <f t="shared" si="54"/>
        <v>0</v>
      </c>
      <c r="AM87" s="67">
        <f t="shared" si="53"/>
        <v>0</v>
      </c>
    </row>
    <row r="88" spans="1:39" s="41" customFormat="1" ht="13.5">
      <c r="A88" s="92">
        <f>SUM(B84:B88)</f>
        <v>2027000</v>
      </c>
      <c r="B88" s="67"/>
      <c r="C88" s="68">
        <f>SUM(H88+P88+X88+AF88)</f>
        <v>1574000</v>
      </c>
      <c r="D88" s="67"/>
      <c r="E88" s="36"/>
      <c r="F88" s="36"/>
      <c r="G88" s="37"/>
      <c r="H88" s="45">
        <f>SUM(G84:G88)</f>
        <v>532000</v>
      </c>
      <c r="I88" s="37"/>
      <c r="J88" s="38"/>
      <c r="K88" s="38"/>
      <c r="L88" s="36"/>
      <c r="M88" s="36"/>
      <c r="N88" s="36"/>
      <c r="O88" s="37"/>
      <c r="P88" s="45"/>
      <c r="Q88" s="37"/>
      <c r="R88" s="38"/>
      <c r="S88" s="38"/>
      <c r="T88" s="36"/>
      <c r="U88" s="36"/>
      <c r="V88" s="36"/>
      <c r="W88" s="37"/>
      <c r="X88" s="45">
        <f>SUM(W84:W88)</f>
        <v>532000</v>
      </c>
      <c r="Y88" s="37"/>
      <c r="Z88" s="38"/>
      <c r="AA88" s="38"/>
      <c r="AB88" s="36"/>
      <c r="AC88" s="36"/>
      <c r="AD88" s="36"/>
      <c r="AE88" s="37"/>
      <c r="AF88" s="45">
        <f>SUM(AE84:AE88)</f>
        <v>510000</v>
      </c>
      <c r="AG88" s="37"/>
      <c r="AH88" s="38"/>
      <c r="AI88" s="38">
        <f>SUM(AE88:AH88)</f>
        <v>510000</v>
      </c>
      <c r="AK88" s="36"/>
      <c r="AL88" s="67">
        <f t="shared" si="54"/>
        <v>0</v>
      </c>
      <c r="AM88" s="67">
        <f t="shared" si="53"/>
        <v>0</v>
      </c>
    </row>
    <row r="89" spans="1:39" s="78" customFormat="1" ht="13.5">
      <c r="A89" s="70" t="s">
        <v>191</v>
      </c>
      <c r="B89" s="71">
        <f>B83-SUM(B84:B88)</f>
        <v>0</v>
      </c>
      <c r="C89" s="71"/>
      <c r="D89" s="71">
        <f>D83-SUM(D84:D88)</f>
        <v>531059.46000000008</v>
      </c>
      <c r="E89" s="70" t="str">
        <f t="shared" si="48"/>
        <v>'22 CALC END BAL</v>
      </c>
      <c r="F89" s="72">
        <v>0</v>
      </c>
      <c r="G89" s="86">
        <f>SUM(G83-(SUM(G84:G88)))</f>
        <v>0</v>
      </c>
      <c r="H89" s="73"/>
      <c r="I89" s="86">
        <f>SUM(I83-(SUM(I84:I88)))</f>
        <v>224483.42000000004</v>
      </c>
      <c r="J89" s="72"/>
      <c r="K89" s="72"/>
      <c r="L89" s="75"/>
      <c r="M89" s="70" t="str">
        <f t="shared" si="49"/>
        <v>'22 CALC END BAL</v>
      </c>
      <c r="N89" s="72">
        <v>0</v>
      </c>
      <c r="O89" s="86">
        <f>SUM(O83-(SUM(O84:O88)))</f>
        <v>0</v>
      </c>
      <c r="P89" s="73"/>
      <c r="Q89" s="86">
        <f>SUM(Q83-(SUM(Q84:Q88)))</f>
        <v>104883.42000000004</v>
      </c>
      <c r="R89" s="72">
        <v>0</v>
      </c>
      <c r="S89" s="72">
        <v>0</v>
      </c>
      <c r="T89" s="75"/>
      <c r="U89" s="70" t="str">
        <f t="shared" si="50"/>
        <v>'22 CALC END BAL</v>
      </c>
      <c r="V89" s="72">
        <v>0</v>
      </c>
      <c r="W89" s="86">
        <f>SUM(W83-(SUM(W84:W88)))</f>
        <v>0</v>
      </c>
      <c r="X89" s="73"/>
      <c r="Y89" s="86">
        <f>SUM(Y83-(SUM(Y84:Y88)))</f>
        <v>-92189</v>
      </c>
      <c r="Z89" s="72">
        <v>0</v>
      </c>
      <c r="AA89" s="72">
        <v>0</v>
      </c>
      <c r="AB89" s="77"/>
      <c r="AC89" s="70" t="str">
        <f t="shared" si="51"/>
        <v>'22 CALC END BAL</v>
      </c>
      <c r="AD89" s="72">
        <v>0</v>
      </c>
      <c r="AE89" s="86">
        <f>SUM(AE83-(SUM(AE84:AE88)))</f>
        <v>0</v>
      </c>
      <c r="AF89" s="73"/>
      <c r="AG89" s="86">
        <f>SUM(AG83-(SUM(AG84:AG88)))</f>
        <v>293882.62</v>
      </c>
      <c r="AH89" s="72">
        <v>0</v>
      </c>
      <c r="AI89" s="72">
        <v>0</v>
      </c>
      <c r="AK89" s="70" t="str">
        <f t="shared" ref="AK89:AK90" si="55">$A89</f>
        <v>'22 CALC END BAL</v>
      </c>
      <c r="AL89" s="91">
        <f t="shared" si="54"/>
        <v>0</v>
      </c>
      <c r="AM89" s="91">
        <f t="shared" si="53"/>
        <v>531060.46000000008</v>
      </c>
    </row>
    <row r="90" spans="1:39" s="78" customFormat="1" ht="13.5">
      <c r="A90" s="70" t="s">
        <v>192</v>
      </c>
      <c r="B90" s="71">
        <f>SUM(G90+O90+W90+AE90)</f>
        <v>0</v>
      </c>
      <c r="C90" s="71"/>
      <c r="D90" s="71">
        <f>SUM(I90+Q90+Y90+AG90)</f>
        <v>531060.46000000008</v>
      </c>
      <c r="E90" s="70" t="str">
        <f t="shared" si="48"/>
        <v>'22 ADJ END BAL</v>
      </c>
      <c r="F90" s="72">
        <v>0</v>
      </c>
      <c r="G90" s="73">
        <f>G89</f>
        <v>0</v>
      </c>
      <c r="H90" s="74"/>
      <c r="I90" s="73">
        <f>I89</f>
        <v>224483.42000000004</v>
      </c>
      <c r="J90" s="72"/>
      <c r="K90" s="72"/>
      <c r="L90" s="75"/>
      <c r="M90" s="70" t="str">
        <f t="shared" si="49"/>
        <v>'22 ADJ END BAL</v>
      </c>
      <c r="N90" s="72">
        <v>0</v>
      </c>
      <c r="O90" s="73">
        <f>O89</f>
        <v>0</v>
      </c>
      <c r="P90" s="74"/>
      <c r="Q90" s="73">
        <f>Q89</f>
        <v>104883.42000000004</v>
      </c>
      <c r="R90" s="72">
        <v>0</v>
      </c>
      <c r="S90" s="72">
        <v>0</v>
      </c>
      <c r="T90" s="75"/>
      <c r="U90" s="70" t="str">
        <f t="shared" si="50"/>
        <v>'22 ADJ END BAL</v>
      </c>
      <c r="V90" s="72">
        <v>0</v>
      </c>
      <c r="W90" s="73">
        <f>W89</f>
        <v>0</v>
      </c>
      <c r="X90" s="74"/>
      <c r="Y90" s="73">
        <f>Y89</f>
        <v>-92189</v>
      </c>
      <c r="Z90" s="72">
        <v>0</v>
      </c>
      <c r="AA90" s="72">
        <v>0</v>
      </c>
      <c r="AB90" s="77"/>
      <c r="AC90" s="70" t="str">
        <f t="shared" si="51"/>
        <v>'22 ADJ END BAL</v>
      </c>
      <c r="AD90" s="72">
        <v>0</v>
      </c>
      <c r="AE90" s="73">
        <f>AE89</f>
        <v>0</v>
      </c>
      <c r="AF90" s="74"/>
      <c r="AG90" s="73">
        <f>AG89</f>
        <v>293882.62</v>
      </c>
      <c r="AH90" s="72">
        <v>0</v>
      </c>
      <c r="AI90" s="72">
        <v>0</v>
      </c>
      <c r="AK90" s="70" t="str">
        <f t="shared" si="55"/>
        <v>'22 ADJ END BAL</v>
      </c>
      <c r="AL90" s="71"/>
      <c r="AM90" s="91">
        <f t="shared" si="53"/>
        <v>531060.46000000008</v>
      </c>
    </row>
    <row r="91" spans="1:39" ht="13.5">
      <c r="A91" s="25" t="s">
        <v>201</v>
      </c>
      <c r="B91" s="66">
        <v>2060000</v>
      </c>
      <c r="C91" s="66"/>
      <c r="D91" s="66">
        <v>270698</v>
      </c>
      <c r="E91" s="58" t="str">
        <f t="shared" si="48"/>
        <v>'23 TARGET</v>
      </c>
      <c r="F91" s="26">
        <v>0</v>
      </c>
      <c r="G91" s="34">
        <v>544000</v>
      </c>
      <c r="H91" s="28"/>
      <c r="I91" s="34">
        <v>66447</v>
      </c>
      <c r="J91" s="26"/>
      <c r="K91" s="26"/>
      <c r="L91" s="29"/>
      <c r="M91" s="58" t="str">
        <f t="shared" si="49"/>
        <v>'23 TARGET</v>
      </c>
      <c r="N91" s="26">
        <v>0</v>
      </c>
      <c r="O91" s="34">
        <v>453000</v>
      </c>
      <c r="P91" s="28"/>
      <c r="Q91" s="34">
        <v>58250</v>
      </c>
      <c r="R91" s="26">
        <v>0</v>
      </c>
      <c r="S91" s="26">
        <v>0</v>
      </c>
      <c r="T91" s="29"/>
      <c r="U91" s="58" t="str">
        <f t="shared" si="50"/>
        <v>'23 TARGET</v>
      </c>
      <c r="V91" s="26">
        <v>0</v>
      </c>
      <c r="W91" s="34">
        <v>543000</v>
      </c>
      <c r="X91" s="28"/>
      <c r="Y91" s="35">
        <v>73255</v>
      </c>
      <c r="Z91" s="26">
        <v>0</v>
      </c>
      <c r="AA91" s="26">
        <v>0</v>
      </c>
      <c r="AB91" s="32"/>
      <c r="AC91" s="58" t="str">
        <f t="shared" si="51"/>
        <v>'23 TARGET</v>
      </c>
      <c r="AD91" s="26">
        <v>0</v>
      </c>
      <c r="AE91" s="34">
        <v>520000</v>
      </c>
      <c r="AF91" s="28"/>
      <c r="AG91" s="35">
        <v>72747</v>
      </c>
      <c r="AH91" s="26">
        <v>0</v>
      </c>
      <c r="AI91" s="26">
        <v>0</v>
      </c>
      <c r="AJ91" s="33"/>
      <c r="AK91" s="58" t="str">
        <f>$A91</f>
        <v>'23 TARGET</v>
      </c>
      <c r="AL91" s="89">
        <f>SUM(W91,AE91,O91,G91)</f>
        <v>2060000</v>
      </c>
      <c r="AM91" s="89">
        <f t="shared" ref="AM91:AM99" si="56">SUM(Y91,AG91,Q91,I91)</f>
        <v>270699</v>
      </c>
    </row>
    <row r="92" spans="1:39" ht="13.5">
      <c r="A92" s="25" t="s">
        <v>202</v>
      </c>
      <c r="B92" s="66">
        <f>SUM(G92+O92+W92+AE92)</f>
        <v>2060000</v>
      </c>
      <c r="C92" s="66"/>
      <c r="D92" s="66">
        <f>D90+D91</f>
        <v>801758.46000000008</v>
      </c>
      <c r="E92" s="58" t="str">
        <f t="shared" si="48"/>
        <v>'23 BEG BAL</v>
      </c>
      <c r="F92" s="26">
        <v>0</v>
      </c>
      <c r="G92" s="27">
        <f>G91</f>
        <v>544000</v>
      </c>
      <c r="H92" s="28"/>
      <c r="I92" s="27">
        <f>SUM(I90+I91)</f>
        <v>290930.42000000004</v>
      </c>
      <c r="J92" s="26"/>
      <c r="K92" s="96"/>
      <c r="L92" s="29"/>
      <c r="M92" s="58" t="str">
        <f t="shared" si="49"/>
        <v>'23 BEG BAL</v>
      </c>
      <c r="N92" s="26">
        <v>0</v>
      </c>
      <c r="O92" s="27">
        <f>O91</f>
        <v>453000</v>
      </c>
      <c r="P92" s="28"/>
      <c r="Q92" s="27">
        <f>SUM(Q90+Q91)</f>
        <v>163133.42000000004</v>
      </c>
      <c r="R92" s="26">
        <v>0</v>
      </c>
      <c r="S92" s="26">
        <v>0</v>
      </c>
      <c r="T92" s="29"/>
      <c r="U92" s="58" t="str">
        <f t="shared" si="50"/>
        <v>'23 BEG BAL</v>
      </c>
      <c r="V92" s="26">
        <v>0</v>
      </c>
      <c r="W92" s="27">
        <f>W91</f>
        <v>543000</v>
      </c>
      <c r="X92" s="28"/>
      <c r="Y92" s="27">
        <f>SUM(Y90+Y91)</f>
        <v>-18934</v>
      </c>
      <c r="Z92" s="26">
        <v>0</v>
      </c>
      <c r="AA92" s="26">
        <v>0</v>
      </c>
      <c r="AB92" s="32"/>
      <c r="AC92" s="58" t="str">
        <f t="shared" si="51"/>
        <v>'23 BEG BAL</v>
      </c>
      <c r="AD92" s="26">
        <v>0</v>
      </c>
      <c r="AE92" s="27">
        <f>AE91</f>
        <v>520000</v>
      </c>
      <c r="AF92" s="28"/>
      <c r="AG92" s="27">
        <f>SUM(AG90+AG91)</f>
        <v>366629.62</v>
      </c>
      <c r="AH92" s="26">
        <v>0</v>
      </c>
      <c r="AI92" s="26">
        <v>0</v>
      </c>
      <c r="AJ92" s="33"/>
      <c r="AK92" s="58" t="str">
        <f>$A92</f>
        <v>'23 BEG BAL</v>
      </c>
      <c r="AL92" s="66">
        <f>AL91</f>
        <v>2060000</v>
      </c>
      <c r="AM92" s="89">
        <f t="shared" si="56"/>
        <v>801759.46000000008</v>
      </c>
    </row>
    <row r="93" spans="1:39" ht="13.5">
      <c r="A93" s="36"/>
      <c r="B93" s="67">
        <f>SUM(G93+O93+W93+AE93)</f>
        <v>1608000</v>
      </c>
      <c r="C93" s="67"/>
      <c r="D93" s="67">
        <f>SUM(I93+Q93+Y93+AG93)</f>
        <v>73255</v>
      </c>
      <c r="E93" s="36" t="s">
        <v>20</v>
      </c>
      <c r="F93" s="36"/>
      <c r="G93" s="37">
        <v>142000</v>
      </c>
      <c r="H93" s="37"/>
      <c r="I93" s="37"/>
      <c r="J93" s="38"/>
      <c r="K93" s="38">
        <f>SUM(G93:J93)</f>
        <v>142000</v>
      </c>
      <c r="L93" s="36"/>
      <c r="M93" s="36" t="s">
        <v>213</v>
      </c>
      <c r="N93" s="39"/>
      <c r="O93" s="37">
        <v>453000</v>
      </c>
      <c r="P93" s="37"/>
      <c r="Q93" s="37"/>
      <c r="R93" s="38"/>
      <c r="S93" s="38">
        <f>SUM(O93:R93)</f>
        <v>453000</v>
      </c>
      <c r="T93" s="36"/>
      <c r="U93" s="36" t="s">
        <v>230</v>
      </c>
      <c r="V93" s="38"/>
      <c r="W93" s="37">
        <v>543000</v>
      </c>
      <c r="X93" s="37"/>
      <c r="Y93" s="37">
        <v>73255</v>
      </c>
      <c r="Z93" s="38">
        <v>62495</v>
      </c>
      <c r="AA93" s="38">
        <f>SUM(W93:Z93)</f>
        <v>678750</v>
      </c>
      <c r="AB93" s="36"/>
      <c r="AC93" s="36" t="s">
        <v>215</v>
      </c>
      <c r="AD93" s="38"/>
      <c r="AE93" s="37">
        <v>470000</v>
      </c>
      <c r="AF93" s="37"/>
      <c r="AG93" s="37"/>
      <c r="AH93" s="38">
        <v>117000</v>
      </c>
      <c r="AI93" s="38">
        <f>SUM(AE93:AH93)</f>
        <v>587000</v>
      </c>
      <c r="AJ93" s="41"/>
      <c r="AK93" s="36"/>
      <c r="AL93" s="67">
        <f t="shared" ref="AL93:AL98" si="57">SUM(W93,AE93,O93,G93)</f>
        <v>1608000</v>
      </c>
      <c r="AM93" s="67">
        <f t="shared" si="56"/>
        <v>73255</v>
      </c>
    </row>
    <row r="94" spans="1:39" ht="13.5">
      <c r="A94" s="36"/>
      <c r="B94" s="67">
        <f>SUM(G94+O94+W94+AE94)</f>
        <v>50000</v>
      </c>
      <c r="C94" s="67"/>
      <c r="D94" s="67">
        <f>SUM(I94+Q94+Y94+AG94)</f>
        <v>0</v>
      </c>
      <c r="E94" s="36"/>
      <c r="F94" s="36"/>
      <c r="G94" s="37"/>
      <c r="H94" s="37"/>
      <c r="I94" s="37"/>
      <c r="J94" s="38"/>
      <c r="K94" s="38">
        <f>SUM(G94:J94)</f>
        <v>0</v>
      </c>
      <c r="L94" s="36"/>
      <c r="M94" s="36"/>
      <c r="N94" s="36"/>
      <c r="O94" s="37"/>
      <c r="P94" s="37"/>
      <c r="Q94" s="37"/>
      <c r="R94" s="38"/>
      <c r="S94" s="38">
        <f>SUM(O94:R94)</f>
        <v>0</v>
      </c>
      <c r="T94" s="36"/>
      <c r="U94" s="36"/>
      <c r="V94" s="36"/>
      <c r="W94" s="37"/>
      <c r="X94" s="37"/>
      <c r="Y94" s="37"/>
      <c r="Z94" s="38"/>
      <c r="AA94" s="38">
        <f>SUM(W94:Z94)</f>
        <v>0</v>
      </c>
      <c r="AB94" s="36"/>
      <c r="AC94" s="36" t="s">
        <v>233</v>
      </c>
      <c r="AD94" s="36" t="s">
        <v>137</v>
      </c>
      <c r="AE94" s="37">
        <v>50000</v>
      </c>
      <c r="AF94" s="37"/>
      <c r="AG94" s="37"/>
      <c r="AH94" s="38">
        <v>12500</v>
      </c>
      <c r="AI94" s="38">
        <f>SUM(AE94:AH94)</f>
        <v>62500</v>
      </c>
      <c r="AJ94" s="41"/>
      <c r="AK94" s="36"/>
      <c r="AL94" s="67">
        <f t="shared" si="57"/>
        <v>50000</v>
      </c>
      <c r="AM94" s="67">
        <f t="shared" si="56"/>
        <v>0</v>
      </c>
    </row>
    <row r="95" spans="1:39" ht="13.5">
      <c r="A95" s="36"/>
      <c r="B95" s="67">
        <f>SUM(G95+O95+W95+AE95)</f>
        <v>0</v>
      </c>
      <c r="C95" s="67"/>
      <c r="D95" s="67">
        <f>SUM(I95+Q95+Y95+AG95)</f>
        <v>0</v>
      </c>
      <c r="E95" s="65"/>
      <c r="F95" s="65"/>
      <c r="G95" s="45"/>
      <c r="H95" s="45"/>
      <c r="I95" s="37"/>
      <c r="J95" s="38"/>
      <c r="K95" s="38">
        <f>SUM(G95:J95)</f>
        <v>0</v>
      </c>
      <c r="L95" s="36"/>
      <c r="M95" s="36"/>
      <c r="N95" s="36"/>
      <c r="O95" s="37"/>
      <c r="P95" s="37"/>
      <c r="Q95" s="37"/>
      <c r="R95" s="38"/>
      <c r="S95" s="38">
        <f>SUM(O95:R95)</f>
        <v>0</v>
      </c>
      <c r="T95" s="36"/>
      <c r="U95" s="36"/>
      <c r="V95" s="36"/>
      <c r="W95" s="37"/>
      <c r="X95" s="37"/>
      <c r="Y95" s="37"/>
      <c r="Z95" s="38"/>
      <c r="AA95" s="38">
        <f>SUM(W95:Z95)</f>
        <v>0</v>
      </c>
      <c r="AB95" s="36"/>
      <c r="AC95" s="36"/>
      <c r="AD95" s="36"/>
      <c r="AE95" s="37"/>
      <c r="AF95" s="37"/>
      <c r="AG95" s="37"/>
      <c r="AH95" s="38"/>
      <c r="AI95" s="38">
        <f>SUM(AE95:AH95)</f>
        <v>0</v>
      </c>
      <c r="AJ95" s="41"/>
      <c r="AK95" s="36"/>
      <c r="AL95" s="67">
        <f t="shared" si="57"/>
        <v>0</v>
      </c>
      <c r="AM95" s="67">
        <f t="shared" si="56"/>
        <v>0</v>
      </c>
    </row>
    <row r="96" spans="1:39" ht="13.5">
      <c r="A96" s="36"/>
      <c r="B96" s="67">
        <f>SUM(G96+O96+W96+AE96)</f>
        <v>0</v>
      </c>
      <c r="C96" s="67"/>
      <c r="D96" s="67">
        <f>SUM(I96+Q96+Y96+AG96)</f>
        <v>0</v>
      </c>
      <c r="E96" s="36"/>
      <c r="F96" s="36"/>
      <c r="G96" s="37"/>
      <c r="H96" s="37"/>
      <c r="I96" s="37"/>
      <c r="J96" s="38"/>
      <c r="K96" s="38">
        <f>SUM(G96:J96)</f>
        <v>0</v>
      </c>
      <c r="L96" s="36"/>
      <c r="M96" s="36"/>
      <c r="N96" s="36"/>
      <c r="O96" s="37"/>
      <c r="P96" s="37"/>
      <c r="Q96" s="37"/>
      <c r="R96" s="38"/>
      <c r="S96" s="38">
        <f>SUM(O96:R96)</f>
        <v>0</v>
      </c>
      <c r="T96" s="36"/>
      <c r="U96" s="36"/>
      <c r="V96" s="36"/>
      <c r="W96" s="37"/>
      <c r="X96" s="37"/>
      <c r="Y96" s="37"/>
      <c r="Z96" s="38"/>
      <c r="AA96" s="38">
        <f>SUM(W96:Z96)</f>
        <v>0</v>
      </c>
      <c r="AB96" s="36"/>
      <c r="AC96" s="36"/>
      <c r="AD96" s="36"/>
      <c r="AE96" s="37"/>
      <c r="AF96" s="37"/>
      <c r="AG96" s="37"/>
      <c r="AH96" s="38"/>
      <c r="AI96" s="38">
        <f>SUM(AE96:AH96)</f>
        <v>0</v>
      </c>
      <c r="AJ96" s="41"/>
      <c r="AK96" s="36"/>
      <c r="AL96" s="67">
        <f t="shared" si="57"/>
        <v>0</v>
      </c>
      <c r="AM96" s="67">
        <f t="shared" si="56"/>
        <v>0</v>
      </c>
    </row>
    <row r="97" spans="1:39" ht="13.5">
      <c r="A97" s="92">
        <f>SUM(B93:B97)</f>
        <v>1658000</v>
      </c>
      <c r="B97" s="67"/>
      <c r="C97" s="68">
        <f>SUM(H97+P97+X97+AF97)</f>
        <v>1205000</v>
      </c>
      <c r="D97" s="67"/>
      <c r="E97" s="36"/>
      <c r="F97" s="36"/>
      <c r="G97" s="37"/>
      <c r="H97" s="45">
        <f>SUM(G93:G97)</f>
        <v>142000</v>
      </c>
      <c r="I97" s="37"/>
      <c r="J97" s="38"/>
      <c r="K97" s="38"/>
      <c r="L97" s="36"/>
      <c r="M97" s="36"/>
      <c r="N97" s="36"/>
      <c r="O97" s="37"/>
      <c r="P97" s="45"/>
      <c r="Q97" s="37"/>
      <c r="R97" s="38"/>
      <c r="S97" s="38"/>
      <c r="T97" s="36"/>
      <c r="U97" s="36"/>
      <c r="V97" s="36"/>
      <c r="W97" s="37"/>
      <c r="X97" s="45">
        <f>SUM(W93:W97)</f>
        <v>543000</v>
      </c>
      <c r="Y97" s="37"/>
      <c r="Z97" s="38"/>
      <c r="AA97" s="38"/>
      <c r="AB97" s="36"/>
      <c r="AC97" s="36"/>
      <c r="AD97" s="36"/>
      <c r="AE97" s="37"/>
      <c r="AF97" s="45">
        <f>SUM(AE93:AE97)</f>
        <v>520000</v>
      </c>
      <c r="AG97" s="37"/>
      <c r="AH97" s="38"/>
      <c r="AI97" s="38">
        <f>SUM(AE97:AH97)</f>
        <v>520000</v>
      </c>
      <c r="AJ97" s="41"/>
      <c r="AK97" s="36"/>
      <c r="AL97" s="67">
        <f t="shared" si="57"/>
        <v>0</v>
      </c>
      <c r="AM97" s="67">
        <f t="shared" si="56"/>
        <v>0</v>
      </c>
    </row>
    <row r="98" spans="1:39" ht="13.5">
      <c r="A98" s="70" t="s">
        <v>203</v>
      </c>
      <c r="B98" s="71">
        <f>B92-SUM(B93:B97)</f>
        <v>402000</v>
      </c>
      <c r="C98" s="71"/>
      <c r="D98" s="71">
        <f>D92-SUM(D93:D97)</f>
        <v>728503.46000000008</v>
      </c>
      <c r="E98" s="70" t="str">
        <f t="shared" si="48"/>
        <v>'23 CALC END BAL</v>
      </c>
      <c r="F98" s="72">
        <v>0</v>
      </c>
      <c r="G98" s="86">
        <f>SUM(G92-(SUM(G93:G97)))</f>
        <v>402000</v>
      </c>
      <c r="H98" s="73"/>
      <c r="I98" s="86">
        <f>SUM(I92-(SUM(I93:I97)))</f>
        <v>290930.42000000004</v>
      </c>
      <c r="J98" s="72"/>
      <c r="K98" s="72"/>
      <c r="L98" s="75"/>
      <c r="M98" s="70" t="str">
        <f t="shared" si="49"/>
        <v>'23 CALC END BAL</v>
      </c>
      <c r="N98" s="72">
        <v>0</v>
      </c>
      <c r="O98" s="86">
        <f>SUM(O92-(SUM(O93:O97)))</f>
        <v>0</v>
      </c>
      <c r="P98" s="73"/>
      <c r="Q98" s="86">
        <f>SUM(Q92-(SUM(Q93:Q97)))</f>
        <v>163133.42000000004</v>
      </c>
      <c r="R98" s="72">
        <v>0</v>
      </c>
      <c r="S98" s="72">
        <v>0</v>
      </c>
      <c r="T98" s="75"/>
      <c r="U98" s="70" t="str">
        <f t="shared" si="50"/>
        <v>'23 CALC END BAL</v>
      </c>
      <c r="V98" s="72">
        <v>0</v>
      </c>
      <c r="W98" s="86">
        <f>SUM(W92-(SUM(W93:W97)))</f>
        <v>0</v>
      </c>
      <c r="X98" s="73"/>
      <c r="Y98" s="86">
        <f>SUM(Y92-(SUM(Y93:Y97)))</f>
        <v>-92189</v>
      </c>
      <c r="Z98" s="72">
        <v>0</v>
      </c>
      <c r="AA98" s="72">
        <v>0</v>
      </c>
      <c r="AB98" s="77"/>
      <c r="AC98" s="70" t="str">
        <f t="shared" si="51"/>
        <v>'23 CALC END BAL</v>
      </c>
      <c r="AD98" s="72">
        <v>0</v>
      </c>
      <c r="AE98" s="86">
        <f>SUM(AE92-(SUM(AE93:AE97)))</f>
        <v>0</v>
      </c>
      <c r="AF98" s="73"/>
      <c r="AG98" s="86">
        <f>SUM(AG92-(SUM(AG93:AG97)))</f>
        <v>366629.62</v>
      </c>
      <c r="AH98" s="72">
        <v>0</v>
      </c>
      <c r="AI98" s="72">
        <v>0</v>
      </c>
      <c r="AJ98" s="78"/>
      <c r="AK98" s="70" t="str">
        <f t="shared" ref="AK98:AK99" si="58">$A98</f>
        <v>'23 CALC END BAL</v>
      </c>
      <c r="AL98" s="91">
        <f t="shared" si="57"/>
        <v>402000</v>
      </c>
      <c r="AM98" s="91">
        <f t="shared" si="56"/>
        <v>728504.46000000008</v>
      </c>
    </row>
    <row r="99" spans="1:39" ht="13.5">
      <c r="A99" s="70" t="s">
        <v>204</v>
      </c>
      <c r="B99" s="71">
        <f>SUM(G99+O99+W99+AE99)</f>
        <v>402000</v>
      </c>
      <c r="C99" s="71"/>
      <c r="D99" s="71">
        <f>SUM(I99+Q99+Y99+AG99)</f>
        <v>728504.46000000008</v>
      </c>
      <c r="E99" s="70" t="str">
        <f t="shared" si="48"/>
        <v>'23 ADJ END BAL</v>
      </c>
      <c r="F99" s="72">
        <v>0</v>
      </c>
      <c r="G99" s="73">
        <f>G98</f>
        <v>402000</v>
      </c>
      <c r="H99" s="74"/>
      <c r="I99" s="73">
        <f>I98</f>
        <v>290930.42000000004</v>
      </c>
      <c r="J99" s="72"/>
      <c r="K99" s="72"/>
      <c r="L99" s="75"/>
      <c r="M99" s="70" t="str">
        <f t="shared" si="49"/>
        <v>'23 ADJ END BAL</v>
      </c>
      <c r="N99" s="72">
        <v>0</v>
      </c>
      <c r="O99" s="73">
        <f>O98</f>
        <v>0</v>
      </c>
      <c r="P99" s="74"/>
      <c r="Q99" s="73">
        <f>Q98</f>
        <v>163133.42000000004</v>
      </c>
      <c r="R99" s="72">
        <v>0</v>
      </c>
      <c r="S99" s="72">
        <v>0</v>
      </c>
      <c r="T99" s="75"/>
      <c r="U99" s="70" t="str">
        <f t="shared" si="50"/>
        <v>'23 ADJ END BAL</v>
      </c>
      <c r="V99" s="72">
        <v>0</v>
      </c>
      <c r="W99" s="73">
        <f>W98</f>
        <v>0</v>
      </c>
      <c r="X99" s="74"/>
      <c r="Y99" s="73">
        <f>Y98</f>
        <v>-92189</v>
      </c>
      <c r="Z99" s="72">
        <v>0</v>
      </c>
      <c r="AA99" s="72">
        <v>0</v>
      </c>
      <c r="AB99" s="77"/>
      <c r="AC99" s="70" t="str">
        <f t="shared" si="51"/>
        <v>'23 ADJ END BAL</v>
      </c>
      <c r="AD99" s="72">
        <v>0</v>
      </c>
      <c r="AE99" s="73">
        <f>AE98</f>
        <v>0</v>
      </c>
      <c r="AF99" s="74"/>
      <c r="AG99" s="73">
        <f>AG98</f>
        <v>366629.62</v>
      </c>
      <c r="AH99" s="72">
        <v>0</v>
      </c>
      <c r="AI99" s="72">
        <v>0</v>
      </c>
      <c r="AJ99" s="78"/>
      <c r="AK99" s="70" t="str">
        <f t="shared" si="58"/>
        <v>'23 ADJ END BAL</v>
      </c>
      <c r="AL99" s="71"/>
      <c r="AM99" s="91">
        <f t="shared" si="56"/>
        <v>728504.46000000008</v>
      </c>
    </row>
    <row r="100" spans="1:39" ht="18">
      <c r="B100" s="69"/>
      <c r="C100" s="69"/>
      <c r="D100" s="69"/>
      <c r="E100" s="6"/>
      <c r="F100" s="6"/>
      <c r="O100" s="24"/>
      <c r="P100" s="24"/>
      <c r="Q100" s="24"/>
      <c r="W100" s="7"/>
      <c r="X100" s="7"/>
      <c r="Y100" s="7"/>
      <c r="Z100" s="7"/>
      <c r="AA100" s="7"/>
    </row>
    <row r="101" spans="1:39" ht="18">
      <c r="B101" s="69"/>
      <c r="C101" s="69"/>
      <c r="D101" s="69"/>
      <c r="E101" s="2" t="s">
        <v>219</v>
      </c>
      <c r="F101" s="6"/>
      <c r="M101" s="2" t="s">
        <v>219</v>
      </c>
      <c r="O101" s="24"/>
      <c r="P101" s="24"/>
      <c r="Q101" s="24"/>
      <c r="U101" s="2" t="s">
        <v>219</v>
      </c>
      <c r="W101" s="7"/>
      <c r="X101" s="7"/>
      <c r="Y101" s="7"/>
      <c r="Z101" s="7"/>
      <c r="AA101" s="7"/>
      <c r="AC101" s="2" t="s">
        <v>219</v>
      </c>
    </row>
    <row r="102" spans="1:39" ht="13.5">
      <c r="E102" s="8" t="s">
        <v>227</v>
      </c>
      <c r="F102" s="105"/>
      <c r="G102" s="105">
        <v>110000</v>
      </c>
      <c r="H102" s="105"/>
      <c r="I102" s="9">
        <v>27500</v>
      </c>
      <c r="J102" s="9"/>
      <c r="K102" s="9">
        <v>137500</v>
      </c>
      <c r="M102" s="8" t="s">
        <v>45</v>
      </c>
      <c r="N102" s="105" t="s">
        <v>220</v>
      </c>
      <c r="O102" s="105">
        <v>68000</v>
      </c>
      <c r="P102" s="105"/>
      <c r="Q102" s="9"/>
      <c r="R102" s="9">
        <v>17000</v>
      </c>
      <c r="S102" s="9">
        <v>85000</v>
      </c>
      <c r="U102" s="8" t="s">
        <v>226</v>
      </c>
      <c r="V102" s="106"/>
      <c r="W102" s="105">
        <v>69200</v>
      </c>
      <c r="X102" s="105"/>
      <c r="Y102" s="9"/>
      <c r="Z102" s="9">
        <v>17300</v>
      </c>
      <c r="AA102" s="9">
        <v>86500</v>
      </c>
      <c r="AC102" s="8" t="s">
        <v>45</v>
      </c>
      <c r="AD102" s="106" t="s">
        <v>223</v>
      </c>
      <c r="AE102" s="105">
        <v>20000</v>
      </c>
      <c r="AF102" s="105"/>
      <c r="AG102" s="9"/>
      <c r="AH102" s="9">
        <v>5000</v>
      </c>
      <c r="AI102" s="9">
        <v>25000</v>
      </c>
    </row>
    <row r="103" spans="1:39" ht="13.5">
      <c r="E103" s="8" t="s">
        <v>227</v>
      </c>
      <c r="F103" s="105"/>
      <c r="G103" s="105">
        <v>110000</v>
      </c>
      <c r="H103" s="105"/>
      <c r="I103" s="9">
        <v>27500</v>
      </c>
      <c r="J103" s="9"/>
      <c r="K103" s="9">
        <v>137500</v>
      </c>
      <c r="M103" s="8" t="s">
        <v>45</v>
      </c>
      <c r="N103" s="105" t="s">
        <v>221</v>
      </c>
      <c r="O103" s="105">
        <v>168000</v>
      </c>
      <c r="P103" s="105"/>
      <c r="Q103" s="9"/>
      <c r="R103" s="9">
        <v>42000</v>
      </c>
      <c r="S103" s="9">
        <v>210000</v>
      </c>
      <c r="U103" s="8" t="s">
        <v>226</v>
      </c>
      <c r="V103" s="106"/>
      <c r="W103" s="105">
        <v>69200</v>
      </c>
      <c r="X103" s="105"/>
      <c r="Y103" s="9"/>
      <c r="Z103" s="9">
        <v>17300</v>
      </c>
      <c r="AA103" s="9">
        <v>86500</v>
      </c>
      <c r="AC103" s="8" t="s">
        <v>45</v>
      </c>
      <c r="AD103" s="106" t="s">
        <v>223</v>
      </c>
      <c r="AE103" s="105">
        <v>20000</v>
      </c>
      <c r="AF103" s="105"/>
      <c r="AG103" s="9"/>
      <c r="AH103" s="9">
        <v>5000</v>
      </c>
      <c r="AI103" s="9">
        <v>25000</v>
      </c>
    </row>
    <row r="104" spans="1:39" ht="13.5">
      <c r="E104" s="8"/>
      <c r="F104" s="105"/>
      <c r="G104" s="105"/>
      <c r="H104" s="105"/>
      <c r="I104" s="9"/>
      <c r="J104" s="9"/>
      <c r="K104" s="9"/>
      <c r="M104" s="8" t="s">
        <v>45</v>
      </c>
      <c r="N104" s="105" t="s">
        <v>222</v>
      </c>
      <c r="O104" s="105">
        <v>32000</v>
      </c>
      <c r="P104" s="105"/>
      <c r="Q104" s="9"/>
      <c r="R104" s="9">
        <v>8000</v>
      </c>
      <c r="S104" s="9">
        <v>40000</v>
      </c>
      <c r="U104" s="8" t="s">
        <v>226</v>
      </c>
      <c r="V104" s="106"/>
      <c r="W104" s="105">
        <v>69200</v>
      </c>
      <c r="X104" s="105"/>
      <c r="Y104" s="9"/>
      <c r="Z104" s="9">
        <v>17300</v>
      </c>
      <c r="AA104" s="9">
        <v>86500</v>
      </c>
      <c r="AC104" s="8" t="s">
        <v>45</v>
      </c>
      <c r="AD104" s="106" t="s">
        <v>224</v>
      </c>
      <c r="AE104" s="105">
        <v>10000</v>
      </c>
      <c r="AF104" s="105"/>
      <c r="AG104" s="9"/>
      <c r="AH104" s="9">
        <v>2500</v>
      </c>
      <c r="AI104" s="9">
        <v>12500</v>
      </c>
    </row>
    <row r="105" spans="1:39" ht="13.5">
      <c r="G105" s="105"/>
      <c r="H105" s="105"/>
      <c r="I105" s="105"/>
      <c r="J105" s="9"/>
      <c r="K105" s="9"/>
      <c r="N105" s="105"/>
      <c r="O105" s="105"/>
      <c r="P105" s="105"/>
      <c r="Q105" s="9"/>
      <c r="R105" s="9"/>
      <c r="S105" s="9"/>
      <c r="U105" s="8" t="s">
        <v>226</v>
      </c>
      <c r="V105" s="106"/>
      <c r="W105" s="105">
        <v>69200</v>
      </c>
      <c r="X105" s="105"/>
      <c r="Y105" s="9"/>
      <c r="Z105" s="9">
        <v>17300</v>
      </c>
      <c r="AA105" s="9">
        <v>86500</v>
      </c>
      <c r="AC105" s="8" t="s">
        <v>45</v>
      </c>
      <c r="AD105" s="8" t="s">
        <v>225</v>
      </c>
      <c r="AE105" s="105">
        <v>10000</v>
      </c>
      <c r="AF105" s="105"/>
      <c r="AG105" s="9"/>
      <c r="AH105" s="9">
        <v>2500</v>
      </c>
      <c r="AI105" s="9">
        <v>12500</v>
      </c>
    </row>
    <row r="106" spans="1:39" ht="13.5">
      <c r="G106" s="105"/>
      <c r="H106" s="105"/>
      <c r="I106" s="105"/>
      <c r="J106" s="9"/>
      <c r="K106" s="9"/>
      <c r="N106" s="105"/>
      <c r="O106" s="105"/>
      <c r="P106" s="105"/>
      <c r="Q106" s="9"/>
      <c r="R106" s="9"/>
      <c r="S106" s="9"/>
      <c r="U106" s="8"/>
      <c r="V106" s="106"/>
      <c r="W106" s="105"/>
      <c r="X106" s="105"/>
      <c r="Y106" s="9"/>
      <c r="Z106" s="9"/>
      <c r="AA106" s="9"/>
    </row>
    <row r="107" spans="1:39" ht="13.5">
      <c r="G107" s="105"/>
      <c r="H107" s="105"/>
      <c r="I107" s="105"/>
      <c r="J107" s="9"/>
      <c r="K107" s="9"/>
      <c r="N107" s="105"/>
      <c r="O107" s="105"/>
      <c r="P107" s="105"/>
      <c r="Q107" s="9"/>
      <c r="R107" s="9"/>
      <c r="S107" s="9"/>
      <c r="U107" s="8"/>
      <c r="V107" s="106"/>
      <c r="W107" s="105"/>
      <c r="X107" s="105"/>
      <c r="Y107" s="9"/>
      <c r="Z107" s="9"/>
      <c r="AA107" s="9"/>
    </row>
    <row r="108" spans="1:39" ht="13.5">
      <c r="G108" s="105"/>
      <c r="H108" s="105"/>
      <c r="I108" s="105"/>
      <c r="J108" s="9"/>
      <c r="K108" s="9"/>
      <c r="N108" s="105"/>
      <c r="O108" s="105"/>
      <c r="P108" s="105"/>
      <c r="Q108" s="9"/>
      <c r="R108" s="9"/>
      <c r="S108" s="9"/>
    </row>
    <row r="109" spans="1:39" ht="13.5">
      <c r="G109" s="105"/>
      <c r="H109" s="105"/>
      <c r="I109" s="105"/>
      <c r="J109" s="9"/>
      <c r="K109" s="9"/>
      <c r="N109" s="105"/>
      <c r="O109" s="105"/>
      <c r="P109" s="105"/>
      <c r="Q109" s="9"/>
      <c r="R109" s="9"/>
      <c r="S109" s="9"/>
    </row>
    <row r="110" spans="1:39" ht="13.5">
      <c r="G110" s="105"/>
      <c r="H110" s="105"/>
      <c r="I110" s="105"/>
      <c r="J110" s="9"/>
      <c r="K110" s="9"/>
      <c r="N110" s="105"/>
      <c r="O110" s="105"/>
      <c r="P110" s="105"/>
      <c r="Q110" s="9"/>
      <c r="R110" s="9"/>
      <c r="S110" s="9"/>
    </row>
    <row r="111" spans="1:39" ht="13.5">
      <c r="G111" s="105"/>
      <c r="H111" s="105"/>
      <c r="I111" s="105"/>
      <c r="J111" s="9"/>
      <c r="K111" s="9"/>
      <c r="N111" s="105"/>
      <c r="O111" s="105"/>
      <c r="P111" s="105"/>
      <c r="Q111" s="9"/>
      <c r="R111" s="9"/>
      <c r="S111" s="9"/>
    </row>
    <row r="112" spans="1:39" ht="13.5">
      <c r="G112" s="105"/>
      <c r="H112" s="105"/>
      <c r="I112" s="105"/>
      <c r="J112" s="9"/>
      <c r="K112" s="9"/>
      <c r="N112" s="105"/>
      <c r="O112" s="105"/>
      <c r="P112" s="105"/>
      <c r="Q112" s="9"/>
      <c r="R112" s="9"/>
      <c r="S112" s="9"/>
    </row>
  </sheetData>
  <sheetProtection formatColumns="0" insertRows="0"/>
  <mergeCells count="1">
    <mergeCell ref="AK2:AM2"/>
  </mergeCells>
  <printOptions horizontalCentered="1"/>
  <pageMargins left="0.25" right="0.25" top="1" bottom="0.25" header="0.3" footer="0.3"/>
  <pageSetup paperSize="5" scale="37" orientation="landscape" r:id="rId1"/>
  <headerFooter alignWithMargins="0"/>
  <colBreaks count="1" manualBreakCount="1">
    <brk id="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opLeftCell="C7" workbookViewId="0">
      <selection activeCell="C12" sqref="C12"/>
    </sheetView>
  </sheetViews>
  <sheetFormatPr defaultRowHeight="12.75"/>
  <cols>
    <col min="4" max="4" width="26.140625" customWidth="1"/>
  </cols>
  <sheetData>
    <row r="1" spans="1:17" ht="51">
      <c r="A1" s="14" t="s">
        <v>59</v>
      </c>
      <c r="B1" s="14" t="s">
        <v>60</v>
      </c>
      <c r="C1" s="14" t="s">
        <v>61</v>
      </c>
      <c r="D1" s="14" t="s">
        <v>62</v>
      </c>
      <c r="E1" s="14" t="s">
        <v>63</v>
      </c>
      <c r="F1" s="14" t="s">
        <v>64</v>
      </c>
      <c r="G1" s="14" t="s">
        <v>65</v>
      </c>
      <c r="H1" s="14" t="s">
        <v>66</v>
      </c>
      <c r="I1" s="14" t="s">
        <v>67</v>
      </c>
      <c r="J1" s="15" t="s">
        <v>68</v>
      </c>
      <c r="K1" s="14" t="s">
        <v>69</v>
      </c>
      <c r="L1" s="15" t="s">
        <v>70</v>
      </c>
      <c r="M1" s="14" t="s">
        <v>71</v>
      </c>
      <c r="N1" s="15" t="s">
        <v>72</v>
      </c>
      <c r="O1" s="14" t="s">
        <v>73</v>
      </c>
      <c r="P1" s="15" t="s">
        <v>74</v>
      </c>
      <c r="Q1" s="14" t="s">
        <v>75</v>
      </c>
    </row>
    <row r="2" spans="1:17" ht="38.25">
      <c r="A2" s="16">
        <v>2018</v>
      </c>
      <c r="B2" s="17" t="s">
        <v>3</v>
      </c>
      <c r="C2" s="17" t="s">
        <v>76</v>
      </c>
      <c r="D2" s="17" t="s">
        <v>77</v>
      </c>
      <c r="E2" s="17" t="s">
        <v>53</v>
      </c>
      <c r="F2" s="18"/>
      <c r="G2" s="17" t="s">
        <v>78</v>
      </c>
      <c r="H2" s="17" t="s">
        <v>79</v>
      </c>
      <c r="I2" s="17" t="s">
        <v>56</v>
      </c>
      <c r="J2" s="19">
        <v>148000</v>
      </c>
      <c r="K2" s="18" t="s">
        <v>58</v>
      </c>
      <c r="L2" s="19">
        <v>0</v>
      </c>
      <c r="M2" s="18" t="s">
        <v>57</v>
      </c>
      <c r="N2" s="19">
        <v>0</v>
      </c>
      <c r="O2" s="18" t="s">
        <v>57</v>
      </c>
      <c r="P2" s="19">
        <v>148000</v>
      </c>
      <c r="Q2" s="18"/>
    </row>
    <row r="3" spans="1:17" ht="76.5">
      <c r="A3" s="16"/>
      <c r="B3" s="17" t="s">
        <v>80</v>
      </c>
      <c r="C3" s="17" t="s">
        <v>81</v>
      </c>
      <c r="D3" s="17" t="s">
        <v>45</v>
      </c>
      <c r="E3" s="17" t="s">
        <v>53</v>
      </c>
      <c r="F3" s="18"/>
      <c r="G3" s="17" t="s">
        <v>54</v>
      </c>
      <c r="H3" s="17" t="s">
        <v>55</v>
      </c>
      <c r="I3" s="17" t="s">
        <v>56</v>
      </c>
      <c r="J3" s="19">
        <v>10000</v>
      </c>
      <c r="K3" s="18" t="s">
        <v>58</v>
      </c>
      <c r="L3" s="19">
        <v>0</v>
      </c>
      <c r="M3" s="18" t="s">
        <v>57</v>
      </c>
      <c r="N3" s="19">
        <v>0</v>
      </c>
      <c r="O3" s="18" t="s">
        <v>57</v>
      </c>
      <c r="P3" s="19">
        <v>10000</v>
      </c>
      <c r="Q3" s="18"/>
    </row>
    <row r="4" spans="1:17" ht="51">
      <c r="A4" s="20"/>
      <c r="B4" s="21" t="s">
        <v>11</v>
      </c>
      <c r="C4" s="21" t="s">
        <v>82</v>
      </c>
      <c r="D4" s="21" t="s">
        <v>83</v>
      </c>
      <c r="E4" s="21" t="s">
        <v>84</v>
      </c>
      <c r="F4" s="22">
        <v>2.0099999999999998</v>
      </c>
      <c r="G4" s="21" t="s">
        <v>14</v>
      </c>
      <c r="H4" s="21" t="s">
        <v>85</v>
      </c>
      <c r="I4" s="21" t="s">
        <v>56</v>
      </c>
      <c r="J4" s="23">
        <v>483189</v>
      </c>
      <c r="K4" s="22" t="s">
        <v>58</v>
      </c>
      <c r="L4" s="23">
        <v>82130</v>
      </c>
      <c r="M4" s="22" t="s">
        <v>86</v>
      </c>
      <c r="N4" s="23">
        <v>44000</v>
      </c>
      <c r="O4" s="22" t="s">
        <v>87</v>
      </c>
      <c r="P4" s="23">
        <v>609319</v>
      </c>
      <c r="Q4" s="22"/>
    </row>
    <row r="5" spans="1:17" ht="38.25">
      <c r="A5" s="20"/>
      <c r="B5" s="21" t="s">
        <v>11</v>
      </c>
      <c r="C5" s="21" t="s">
        <v>82</v>
      </c>
      <c r="D5" s="21" t="s">
        <v>88</v>
      </c>
      <c r="E5" s="21" t="s">
        <v>89</v>
      </c>
      <c r="F5" s="22">
        <v>1</v>
      </c>
      <c r="G5" s="21" t="s">
        <v>14</v>
      </c>
      <c r="H5" s="21" t="s">
        <v>85</v>
      </c>
      <c r="I5" s="21" t="s">
        <v>56</v>
      </c>
      <c r="J5" s="23">
        <v>300000</v>
      </c>
      <c r="K5" s="22" t="s">
        <v>58</v>
      </c>
      <c r="L5" s="23">
        <v>30000</v>
      </c>
      <c r="M5" s="22" t="s">
        <v>86</v>
      </c>
      <c r="N5" s="23">
        <v>45000</v>
      </c>
      <c r="O5" s="22" t="s">
        <v>87</v>
      </c>
      <c r="P5" s="23">
        <v>375000</v>
      </c>
      <c r="Q5" s="22"/>
    </row>
    <row r="6" spans="1:17" ht="25.5">
      <c r="A6" s="20"/>
      <c r="B6" s="21" t="s">
        <v>11</v>
      </c>
      <c r="C6" s="21" t="s">
        <v>82</v>
      </c>
      <c r="D6" s="21" t="s">
        <v>83</v>
      </c>
      <c r="E6" s="21" t="s">
        <v>90</v>
      </c>
      <c r="F6" s="22">
        <v>2</v>
      </c>
      <c r="G6" s="21" t="s">
        <v>14</v>
      </c>
      <c r="H6" s="21" t="s">
        <v>85</v>
      </c>
      <c r="I6" s="21" t="s">
        <v>56</v>
      </c>
      <c r="J6" s="23">
        <v>483189</v>
      </c>
      <c r="K6" s="22" t="s">
        <v>58</v>
      </c>
      <c r="L6" s="23">
        <v>82130</v>
      </c>
      <c r="M6" s="22" t="s">
        <v>86</v>
      </c>
      <c r="N6" s="23">
        <v>44000</v>
      </c>
      <c r="O6" s="22" t="s">
        <v>87</v>
      </c>
      <c r="P6" s="23">
        <v>609319</v>
      </c>
      <c r="Q6" s="22"/>
    </row>
    <row r="7" spans="1:17" ht="38.25">
      <c r="A7" s="20"/>
      <c r="B7" s="21" t="s">
        <v>11</v>
      </c>
      <c r="C7" s="21" t="s">
        <v>82</v>
      </c>
      <c r="D7" s="21" t="s">
        <v>91</v>
      </c>
      <c r="E7" s="21" t="s">
        <v>92</v>
      </c>
      <c r="F7" s="22">
        <v>1.5</v>
      </c>
      <c r="G7" s="21" t="s">
        <v>14</v>
      </c>
      <c r="H7" s="21" t="s">
        <v>85</v>
      </c>
      <c r="I7" s="21" t="s">
        <v>56</v>
      </c>
      <c r="J7" s="23">
        <v>350000</v>
      </c>
      <c r="K7" s="22" t="s">
        <v>58</v>
      </c>
      <c r="L7" s="23">
        <v>50000</v>
      </c>
      <c r="M7" s="22" t="s">
        <v>86</v>
      </c>
      <c r="N7" s="23">
        <v>40000</v>
      </c>
      <c r="O7" s="22" t="s">
        <v>87</v>
      </c>
      <c r="P7" s="23">
        <v>440000</v>
      </c>
      <c r="Q7" s="22"/>
    </row>
    <row r="8" spans="1:17" ht="25.5">
      <c r="A8" s="20"/>
      <c r="B8" s="21" t="s">
        <v>11</v>
      </c>
      <c r="C8" s="21" t="s">
        <v>82</v>
      </c>
      <c r="D8" s="21" t="s">
        <v>77</v>
      </c>
      <c r="E8" s="21"/>
      <c r="F8" s="22"/>
      <c r="G8" s="21" t="s">
        <v>93</v>
      </c>
      <c r="H8" s="21"/>
      <c r="I8" s="21" t="s">
        <v>56</v>
      </c>
      <c r="J8" s="23">
        <v>70000</v>
      </c>
      <c r="K8" s="22" t="s">
        <v>58</v>
      </c>
      <c r="L8" s="23"/>
      <c r="M8" s="22" t="s">
        <v>86</v>
      </c>
      <c r="N8" s="23">
        <v>5000</v>
      </c>
      <c r="O8" s="22" t="s">
        <v>87</v>
      </c>
      <c r="P8" s="23">
        <v>75000</v>
      </c>
      <c r="Q8" s="22"/>
    </row>
    <row r="9" spans="1:17" ht="63.75">
      <c r="A9" s="20"/>
      <c r="B9" s="21" t="s">
        <v>10</v>
      </c>
      <c r="C9" s="21" t="s">
        <v>94</v>
      </c>
      <c r="D9" s="21" t="s">
        <v>95</v>
      </c>
      <c r="E9" s="21" t="s">
        <v>96</v>
      </c>
      <c r="F9" s="22"/>
      <c r="G9" s="21" t="s">
        <v>97</v>
      </c>
      <c r="H9" s="21" t="s">
        <v>98</v>
      </c>
      <c r="I9" s="21" t="s">
        <v>56</v>
      </c>
      <c r="J9" s="23">
        <v>24000</v>
      </c>
      <c r="K9" s="22" t="s">
        <v>58</v>
      </c>
      <c r="L9" s="23">
        <v>0</v>
      </c>
      <c r="M9" s="22" t="s">
        <v>57</v>
      </c>
      <c r="N9" s="23">
        <v>6000</v>
      </c>
      <c r="O9" s="22" t="s">
        <v>99</v>
      </c>
      <c r="P9" s="23">
        <v>30000</v>
      </c>
      <c r="Q9" s="22"/>
    </row>
    <row r="10" spans="1:17" ht="63.75">
      <c r="A10" s="20"/>
      <c r="B10" s="21" t="s">
        <v>10</v>
      </c>
      <c r="C10" s="21" t="s">
        <v>94</v>
      </c>
      <c r="D10" s="21" t="s">
        <v>95</v>
      </c>
      <c r="E10" s="21" t="s">
        <v>96</v>
      </c>
      <c r="F10" s="22"/>
      <c r="G10" s="21" t="s">
        <v>100</v>
      </c>
      <c r="H10" s="21" t="s">
        <v>101</v>
      </c>
      <c r="I10" s="21" t="s">
        <v>56</v>
      </c>
      <c r="J10" s="23">
        <v>88000</v>
      </c>
      <c r="K10" s="22" t="s">
        <v>58</v>
      </c>
      <c r="L10" s="23">
        <v>0</v>
      </c>
      <c r="M10" s="22" t="s">
        <v>57</v>
      </c>
      <c r="N10" s="23">
        <v>22000</v>
      </c>
      <c r="O10" s="22" t="s">
        <v>99</v>
      </c>
      <c r="P10" s="23">
        <v>110000</v>
      </c>
      <c r="Q10" s="22"/>
    </row>
    <row r="11" spans="1:17" ht="63.75">
      <c r="A11" s="20"/>
      <c r="B11" s="21" t="s">
        <v>10</v>
      </c>
      <c r="C11" s="21" t="s">
        <v>94</v>
      </c>
      <c r="D11" s="21" t="s">
        <v>95</v>
      </c>
      <c r="E11" s="21" t="s">
        <v>96</v>
      </c>
      <c r="F11" s="22"/>
      <c r="G11" s="21" t="s">
        <v>100</v>
      </c>
      <c r="H11" s="21" t="s">
        <v>102</v>
      </c>
      <c r="I11" s="21" t="s">
        <v>56</v>
      </c>
      <c r="J11" s="23">
        <v>35200</v>
      </c>
      <c r="K11" s="22" t="s">
        <v>58</v>
      </c>
      <c r="L11" s="23">
        <v>0</v>
      </c>
      <c r="M11" s="22" t="s">
        <v>57</v>
      </c>
      <c r="N11" s="23">
        <v>8800</v>
      </c>
      <c r="O11" s="22" t="s">
        <v>99</v>
      </c>
      <c r="P11" s="23">
        <v>44000</v>
      </c>
      <c r="Q11" s="22"/>
    </row>
    <row r="12" spans="1:17" ht="63.75">
      <c r="A12" s="20">
        <v>2017</v>
      </c>
      <c r="B12" s="21" t="s">
        <v>10</v>
      </c>
      <c r="C12" s="21" t="s">
        <v>94</v>
      </c>
      <c r="D12" s="21" t="s">
        <v>95</v>
      </c>
      <c r="E12" s="21" t="s">
        <v>96</v>
      </c>
      <c r="F12" s="22"/>
      <c r="G12" s="21" t="s">
        <v>103</v>
      </c>
      <c r="H12" s="21" t="s">
        <v>104</v>
      </c>
      <c r="I12" s="21" t="s">
        <v>56</v>
      </c>
      <c r="J12" s="23">
        <v>164000</v>
      </c>
      <c r="K12" s="22" t="s">
        <v>58</v>
      </c>
      <c r="L12" s="23">
        <v>0</v>
      </c>
      <c r="M12" s="22" t="s">
        <v>57</v>
      </c>
      <c r="N12" s="23">
        <v>41000</v>
      </c>
      <c r="O12" s="22" t="s">
        <v>99</v>
      </c>
      <c r="P12" s="23">
        <v>205000</v>
      </c>
      <c r="Q12" s="22"/>
    </row>
    <row r="13" spans="1:17" ht="63.75">
      <c r="A13" s="20">
        <v>2018</v>
      </c>
      <c r="B13" s="21" t="s">
        <v>10</v>
      </c>
      <c r="C13" s="21" t="s">
        <v>94</v>
      </c>
      <c r="D13" s="21" t="s">
        <v>95</v>
      </c>
      <c r="E13" s="21" t="s">
        <v>96</v>
      </c>
      <c r="F13" s="22"/>
      <c r="G13" s="21" t="s">
        <v>103</v>
      </c>
      <c r="H13" s="21" t="s">
        <v>105</v>
      </c>
      <c r="I13" s="21" t="s">
        <v>56</v>
      </c>
      <c r="J13" s="23">
        <v>88000</v>
      </c>
      <c r="K13" s="22" t="s">
        <v>58</v>
      </c>
      <c r="L13" s="23">
        <v>0</v>
      </c>
      <c r="M13" s="22" t="s">
        <v>57</v>
      </c>
      <c r="N13" s="23">
        <v>22000</v>
      </c>
      <c r="O13" s="22" t="s">
        <v>99</v>
      </c>
      <c r="P13" s="23">
        <v>110000</v>
      </c>
      <c r="Q13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10A</vt:lpstr>
      <vt:lpstr>Illustrative projects</vt:lpstr>
      <vt:lpstr>'10A'!Print_Area</vt:lpstr>
    </vt:vector>
  </TitlesOfParts>
  <Company>State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Wilcox, Brandon (MDOT)</dc:creator>
  <cp:lastModifiedBy>michaelwoods</cp:lastModifiedBy>
  <cp:lastPrinted>2015-12-01T18:09:27Z</cp:lastPrinted>
  <dcterms:created xsi:type="dcterms:W3CDTF">2013-09-04T18:19:39Z</dcterms:created>
  <dcterms:modified xsi:type="dcterms:W3CDTF">2019-01-08T17:55:27Z</dcterms:modified>
</cp:coreProperties>
</file>